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DATA2\Users\Christophe\Dossiers Cnam\FORMATIONS DIPLOMANTES\TRANSPORTS ET LOGISTIQUE\01.RUTL 2022-2023\planning RUTL 22-23\"/>
    </mc:Choice>
  </mc:AlternateContent>
  <xr:revisionPtr revIDLastSave="0" documentId="13_ncr:1_{58F3E00A-46DA-4D69-9FEF-AE852687BE88}" xr6:coauthVersionLast="47" xr6:coauthVersionMax="47" xr10:uidLastSave="{00000000-0000-0000-0000-000000000000}"/>
  <bookViews>
    <workbookView xWindow="-120" yWindow="-120" windowWidth="29040" windowHeight="15840" tabRatio="760" activeTab="1" xr2:uid="{00000000-000D-0000-FFFF-FFFF00000000}"/>
  </bookViews>
  <sheets>
    <sheet name="Liste des cours" sheetId="2" r:id="rId1"/>
    <sheet name="vue annuelle" sheetId="22" r:id="rId2"/>
    <sheet name="Tabl. synoptique" sheetId="20" r:id="rId3"/>
    <sheet name="vue progressive" sheetId="19" r:id="rId4"/>
    <sheet name="recherche filtrée" sheetId="23" r:id="rId5"/>
    <sheet name="tuteurs" sheetId="24" r:id="rId6"/>
    <sheet name="tables" sheetId="3" state="hidden" r:id="rId7"/>
  </sheets>
  <externalReferences>
    <externalReference r:id="rId8"/>
  </externalReferences>
  <definedNames>
    <definedName name="_xlnm._FilterDatabase" localSheetId="2" hidden="1">'Tabl. synoptique'!$B$2:$N$42</definedName>
    <definedName name="Année" localSheetId="1">'vue annuelle'!$B$1</definedName>
    <definedName name="Année">#REF!</definedName>
    <definedName name="AssignmentDays">[1]Janv.!$K$2:$K$31</definedName>
    <definedName name="Cal_HeureFin">0.999305555555556</definedName>
    <definedName name="CeJourSemaine">CHOOSE(WEEKDAY(TODAY()),"DIMANCHE","LUNDI","MARDI","MERCREDI","JEUDI","VENDREDI","SAMEDI")</definedName>
    <definedName name="Début">#REF!</definedName>
    <definedName name="DimAoût1" localSheetId="1">DATE('vue annuelle'!Année,8,1)-WEEKDAY(DATE('vue annuelle'!Année,8,1))+1</definedName>
    <definedName name="DimAoût1">DATE(Année,8,1)-WEEKDAY(DATE(Année,8,1))+1</definedName>
    <definedName name="DimAvr1" localSheetId="1">DATE('vue annuelle'!Année,4,1)-WEEKDAY(DATE('vue annuelle'!Année,4,1))+1</definedName>
    <definedName name="DimAvr1">DATE(Année,4,1)-WEEKDAY(DATE(Année,4,1))+1</definedName>
    <definedName name="DimDéc1" localSheetId="1">DATE('vue annuelle'!Année,12,1)-WEEKDAY(DATE('vue annuelle'!Année,12,1))+1</definedName>
    <definedName name="DimDéc1">DATE(Année,12,1)-WEEKDAY(DATE(Année,12,1))+1</definedName>
    <definedName name="DimFévr1" localSheetId="1">DATE('vue annuelle'!Année,2,1)-WEEKDAY(DATE('vue annuelle'!Année,2,1))+1</definedName>
    <definedName name="DimFévr1">DATE(Année,2,1)-WEEKDAY(DATE(Année,2,1))+1</definedName>
    <definedName name="DimJanv1" localSheetId="1">DATE('vue annuelle'!Année,1,1)-WEEKDAY(DATE('vue annuelle'!Année,1,1))+1</definedName>
    <definedName name="DimJanv1">DATE(Année,1,1)-WEEKDAY(DATE(Année,1,1))+1</definedName>
    <definedName name="DimJuil1" localSheetId="1">DATE('vue annuelle'!Année,7,1)-WEEKDAY(DATE('vue annuelle'!Année,7,1))+1</definedName>
    <definedName name="DimJuil1">DATE(Année,7,1)-WEEKDAY(DATE(Année,7,1))+1</definedName>
    <definedName name="DimJuin1" localSheetId="1">DATE('vue annuelle'!Année,6,1)-WEEKDAY(DATE('vue annuelle'!Année,6,1))+1</definedName>
    <definedName name="DimJuin1">DATE(Année,6,1)-WEEKDAY(DATE(Année,6,1))+1</definedName>
    <definedName name="DimMai1" localSheetId="1">DATE('vue annuelle'!Année,5,1)-WEEKDAY(DATE('vue annuelle'!Année,5,1))+1</definedName>
    <definedName name="DimMai1">DATE(Année,5,1)-WEEKDAY(DATE(Année,5,1))+1</definedName>
    <definedName name="DimMars1" localSheetId="1">DATE('vue annuelle'!Année,3,1)-WEEKDAY(DATE('vue annuelle'!Année,3,1))+1</definedName>
    <definedName name="DimMars1">DATE(Année,3,1)-WEEKDAY(DATE(Année,3,1))+1</definedName>
    <definedName name="DimNov1" localSheetId="1">DATE('vue annuelle'!Année,11,1)-WEEKDAY(DATE('vue annuelle'!Année,11,1))+1</definedName>
    <definedName name="DimNov1">DATE(Année,11,1)-WEEKDAY(DATE(Année,11,1))+1</definedName>
    <definedName name="DimOct1" localSheetId="1">DATE('vue annuelle'!Année,10,1)-WEEKDAY(DATE('vue annuelle'!Année,10,1))+1</definedName>
    <definedName name="DimOct1">DATE(Année,10,1)-WEEKDAY(DATE(Année,10,1))+1</definedName>
    <definedName name="DimSept1" localSheetId="1">DATE('vue annuelle'!Année,9,1)-WEEKDAY(DATE('vue annuelle'!Année,9,1))+1</definedName>
    <definedName name="DimSept1">DATE(Année,9,1)-WEEKDAY(DATE(Année,9,1))+1</definedName>
    <definedName name="Fériés">tables!$B$4:$B$16</definedName>
    <definedName name="FORMATEURS">tables!$G$20:$G$54</definedName>
    <definedName name="HeureActuelle">TIME(HOUR(NOW()),MINUTE(NOW()),SECOND(NOW()))</definedName>
    <definedName name="Incrément">TIME(0,IntervalleMinute,0)</definedName>
    <definedName name="IntervalleMinute">--LEFT(TexteMinute,2)</definedName>
    <definedName name="MODULES">tables!$B$19:$B$31</definedName>
    <definedName name="TexteMinu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9" l="1"/>
  <c r="G126" i="2"/>
  <c r="J126" i="2"/>
  <c r="K126" i="2"/>
  <c r="L126" i="2"/>
  <c r="N126" i="2"/>
  <c r="P126" i="2"/>
  <c r="Q126" i="2"/>
  <c r="G118" i="2"/>
  <c r="J118" i="2"/>
  <c r="K118" i="2"/>
  <c r="L118" i="2"/>
  <c r="N118" i="2"/>
  <c r="P118" i="2"/>
  <c r="Q118" i="2"/>
  <c r="J203" i="2"/>
  <c r="K203" i="2"/>
  <c r="M203" i="2"/>
  <c r="G124" i="2"/>
  <c r="J124" i="2"/>
  <c r="K124" i="2"/>
  <c r="L124" i="2"/>
  <c r="N124" i="2"/>
  <c r="P124" i="2"/>
  <c r="Q124" i="2"/>
  <c r="G61" i="2" l="1"/>
  <c r="G68" i="2"/>
  <c r="J68" i="2"/>
  <c r="K68" i="2"/>
  <c r="L68" i="2"/>
  <c r="N68" i="2"/>
  <c r="P68" i="2"/>
  <c r="Q68" i="2"/>
  <c r="J61" i="2"/>
  <c r="K61" i="2"/>
  <c r="L61" i="2"/>
  <c r="N61" i="2"/>
  <c r="P61" i="2"/>
  <c r="Q61" i="2"/>
  <c r="F2" i="23" l="1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9" i="2"/>
  <c r="P30" i="2"/>
  <c r="P35" i="2"/>
  <c r="P31" i="2"/>
  <c r="P32" i="2"/>
  <c r="P28" i="2"/>
  <c r="P26" i="2"/>
  <c r="P27" i="2"/>
  <c r="P33" i="2"/>
  <c r="P34" i="2"/>
  <c r="P36" i="2"/>
  <c r="P37" i="2"/>
  <c r="P38" i="2"/>
  <c r="P39" i="2"/>
  <c r="P40" i="2"/>
  <c r="P41" i="2"/>
  <c r="P85" i="2"/>
  <c r="P87" i="2"/>
  <c r="P86" i="2"/>
  <c r="P88" i="2"/>
  <c r="P89" i="2"/>
  <c r="P90" i="2"/>
  <c r="P47" i="2"/>
  <c r="P91" i="2"/>
  <c r="P94" i="2"/>
  <c r="P92" i="2"/>
  <c r="P93" i="2"/>
  <c r="P95" i="2"/>
  <c r="P96" i="2"/>
  <c r="P97" i="2"/>
  <c r="P98" i="2"/>
  <c r="P67" i="2"/>
  <c r="P58" i="2"/>
  <c r="P99" i="2"/>
  <c r="P60" i="2"/>
  <c r="P100" i="2"/>
  <c r="P101" i="2"/>
  <c r="P106" i="2"/>
  <c r="P102" i="2"/>
  <c r="P57" i="2"/>
  <c r="P103" i="2"/>
  <c r="P104" i="2"/>
  <c r="P105" i="2"/>
  <c r="P107" i="2"/>
  <c r="P109" i="2"/>
  <c r="P108" i="2"/>
  <c r="P70" i="2"/>
  <c r="P69" i="2"/>
  <c r="P72" i="2"/>
  <c r="P73" i="2"/>
  <c r="P71" i="2"/>
  <c r="P75" i="2"/>
  <c r="P76" i="2"/>
  <c r="P74" i="2"/>
  <c r="P78" i="2"/>
  <c r="P77" i="2"/>
  <c r="P80" i="2"/>
  <c r="P81" i="2"/>
  <c r="P83" i="2"/>
  <c r="P84" i="2"/>
  <c r="P42" i="2"/>
  <c r="P79" i="2"/>
  <c r="P82" i="2"/>
  <c r="P43" i="2"/>
  <c r="P44" i="2"/>
  <c r="P45" i="2"/>
  <c r="P46" i="2"/>
  <c r="P48" i="2"/>
  <c r="P49" i="2"/>
  <c r="P50" i="2"/>
  <c r="P51" i="2"/>
  <c r="P52" i="2"/>
  <c r="P136" i="2"/>
  <c r="P53" i="2"/>
  <c r="P59" i="2"/>
  <c r="P55" i="2"/>
  <c r="P54" i="2"/>
  <c r="P63" i="2"/>
  <c r="P56" i="2"/>
  <c r="P64" i="2"/>
  <c r="P65" i="2"/>
  <c r="P110" i="2"/>
  <c r="P66" i="2"/>
  <c r="P62" i="2"/>
  <c r="P111" i="2"/>
  <c r="P119" i="2"/>
  <c r="P114" i="2"/>
  <c r="P115" i="2"/>
  <c r="P117" i="2"/>
  <c r="P112" i="2"/>
  <c r="P121" i="2"/>
  <c r="P122" i="2"/>
  <c r="P123" i="2"/>
  <c r="P125" i="2"/>
  <c r="P127" i="2"/>
  <c r="P128" i="2"/>
  <c r="P113" i="2"/>
  <c r="P116" i="2"/>
  <c r="P120" i="2"/>
  <c r="P129" i="2"/>
  <c r="P130" i="2"/>
  <c r="P131" i="2"/>
  <c r="P132" i="2"/>
  <c r="P133" i="2"/>
  <c r="P134" i="2"/>
  <c r="P135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D1" i="20" l="1"/>
  <c r="J3" i="23" l="1"/>
  <c r="J2" i="23" s="1"/>
  <c r="S38" i="23" s="1"/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9" i="2"/>
  <c r="J30" i="2"/>
  <c r="J35" i="2"/>
  <c r="J31" i="2"/>
  <c r="J32" i="2"/>
  <c r="J28" i="2"/>
  <c r="J26" i="2"/>
  <c r="J27" i="2"/>
  <c r="J33" i="2"/>
  <c r="J34" i="2"/>
  <c r="J36" i="2"/>
  <c r="J37" i="2"/>
  <c r="J38" i="2"/>
  <c r="J39" i="2"/>
  <c r="J40" i="2"/>
  <c r="J41" i="2"/>
  <c r="J85" i="2"/>
  <c r="J87" i="2"/>
  <c r="J86" i="2"/>
  <c r="J88" i="2"/>
  <c r="J89" i="2"/>
  <c r="J90" i="2"/>
  <c r="J47" i="2"/>
  <c r="J91" i="2"/>
  <c r="J94" i="2"/>
  <c r="J92" i="2"/>
  <c r="J93" i="2"/>
  <c r="J95" i="2"/>
  <c r="J96" i="2"/>
  <c r="J97" i="2"/>
  <c r="J98" i="2"/>
  <c r="J67" i="2"/>
  <c r="J58" i="2"/>
  <c r="J99" i="2"/>
  <c r="J60" i="2"/>
  <c r="J100" i="2"/>
  <c r="J101" i="2"/>
  <c r="J106" i="2"/>
  <c r="J102" i="2"/>
  <c r="J57" i="2"/>
  <c r="J103" i="2"/>
  <c r="J104" i="2"/>
  <c r="J105" i="2"/>
  <c r="J107" i="2"/>
  <c r="J109" i="2"/>
  <c r="J108" i="2"/>
  <c r="J70" i="2"/>
  <c r="J69" i="2"/>
  <c r="J72" i="2"/>
  <c r="J73" i="2"/>
  <c r="J71" i="2"/>
  <c r="J75" i="2"/>
  <c r="J76" i="2"/>
  <c r="J74" i="2"/>
  <c r="J78" i="2"/>
  <c r="J77" i="2"/>
  <c r="J80" i="2"/>
  <c r="J81" i="2"/>
  <c r="J83" i="2"/>
  <c r="J84" i="2"/>
  <c r="J42" i="2"/>
  <c r="J79" i="2"/>
  <c r="J82" i="2"/>
  <c r="J43" i="2"/>
  <c r="J44" i="2"/>
  <c r="J45" i="2"/>
  <c r="J46" i="2"/>
  <c r="J48" i="2"/>
  <c r="J49" i="2"/>
  <c r="J50" i="2"/>
  <c r="J51" i="2"/>
  <c r="J52" i="2"/>
  <c r="J136" i="2"/>
  <c r="J53" i="2"/>
  <c r="J59" i="2"/>
  <c r="J55" i="2"/>
  <c r="J54" i="2"/>
  <c r="J63" i="2"/>
  <c r="J56" i="2"/>
  <c r="J64" i="2"/>
  <c r="J65" i="2"/>
  <c r="J110" i="2"/>
  <c r="J66" i="2"/>
  <c r="J62" i="2"/>
  <c r="J111" i="2"/>
  <c r="J119" i="2"/>
  <c r="J114" i="2"/>
  <c r="J115" i="2"/>
  <c r="J117" i="2"/>
  <c r="J112" i="2"/>
  <c r="J121" i="2"/>
  <c r="J122" i="2"/>
  <c r="J123" i="2"/>
  <c r="J125" i="2"/>
  <c r="J127" i="2"/>
  <c r="J128" i="2"/>
  <c r="J113" i="2"/>
  <c r="J116" i="2"/>
  <c r="J120" i="2"/>
  <c r="J129" i="2"/>
  <c r="J130" i="2"/>
  <c r="J131" i="2"/>
  <c r="J132" i="2"/>
  <c r="J133" i="2"/>
  <c r="J134" i="2"/>
  <c r="J135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K3" i="2"/>
  <c r="A6" i="23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9" i="2"/>
  <c r="K30" i="2"/>
  <c r="K35" i="2"/>
  <c r="K31" i="2"/>
  <c r="K32" i="2"/>
  <c r="K28" i="2"/>
  <c r="K26" i="2"/>
  <c r="K27" i="2"/>
  <c r="K33" i="2"/>
  <c r="K34" i="2"/>
  <c r="K36" i="2"/>
  <c r="K37" i="2"/>
  <c r="K38" i="2"/>
  <c r="K39" i="2"/>
  <c r="K40" i="2"/>
  <c r="K41" i="2"/>
  <c r="K85" i="2"/>
  <c r="K87" i="2"/>
  <c r="K86" i="2"/>
  <c r="K88" i="2"/>
  <c r="K89" i="2"/>
  <c r="K90" i="2"/>
  <c r="K47" i="2"/>
  <c r="K91" i="2"/>
  <c r="K94" i="2"/>
  <c r="K92" i="2"/>
  <c r="K93" i="2"/>
  <c r="K95" i="2"/>
  <c r="K96" i="2"/>
  <c r="K97" i="2"/>
  <c r="K98" i="2"/>
  <c r="K67" i="2"/>
  <c r="K58" i="2"/>
  <c r="K99" i="2"/>
  <c r="K60" i="2"/>
  <c r="K100" i="2"/>
  <c r="K101" i="2"/>
  <c r="K106" i="2"/>
  <c r="K102" i="2"/>
  <c r="K57" i="2"/>
  <c r="K103" i="2"/>
  <c r="K104" i="2"/>
  <c r="K105" i="2"/>
  <c r="K107" i="2"/>
  <c r="K109" i="2"/>
  <c r="K108" i="2"/>
  <c r="K70" i="2"/>
  <c r="K69" i="2"/>
  <c r="K72" i="2"/>
  <c r="K73" i="2"/>
  <c r="K71" i="2"/>
  <c r="K75" i="2"/>
  <c r="K76" i="2"/>
  <c r="K74" i="2"/>
  <c r="K78" i="2"/>
  <c r="K77" i="2"/>
  <c r="K80" i="2"/>
  <c r="K81" i="2"/>
  <c r="K83" i="2"/>
  <c r="K84" i="2"/>
  <c r="K42" i="2"/>
  <c r="K79" i="2"/>
  <c r="K82" i="2"/>
  <c r="K43" i="2"/>
  <c r="K44" i="2"/>
  <c r="K45" i="2"/>
  <c r="K46" i="2"/>
  <c r="K48" i="2"/>
  <c r="K49" i="2"/>
  <c r="K50" i="2"/>
  <c r="K51" i="2"/>
  <c r="K52" i="2"/>
  <c r="K136" i="2"/>
  <c r="K53" i="2"/>
  <c r="K59" i="2"/>
  <c r="K55" i="2"/>
  <c r="K54" i="2"/>
  <c r="K63" i="2"/>
  <c r="K56" i="2"/>
  <c r="K64" i="2"/>
  <c r="K65" i="2"/>
  <c r="K110" i="2"/>
  <c r="K66" i="2"/>
  <c r="K62" i="2"/>
  <c r="K111" i="2"/>
  <c r="K119" i="2"/>
  <c r="K114" i="2"/>
  <c r="K115" i="2"/>
  <c r="K117" i="2"/>
  <c r="K112" i="2"/>
  <c r="K121" i="2"/>
  <c r="K122" i="2"/>
  <c r="K123" i="2"/>
  <c r="K125" i="2"/>
  <c r="K127" i="2"/>
  <c r="K128" i="2"/>
  <c r="K113" i="2"/>
  <c r="K116" i="2"/>
  <c r="K120" i="2"/>
  <c r="K129" i="2"/>
  <c r="K130" i="2"/>
  <c r="K131" i="2"/>
  <c r="K132" i="2"/>
  <c r="K133" i="2"/>
  <c r="K134" i="2"/>
  <c r="K135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G3" i="2"/>
  <c r="W6" i="19" s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9" i="2"/>
  <c r="G30" i="2"/>
  <c r="G35" i="2"/>
  <c r="G31" i="2"/>
  <c r="G32" i="2"/>
  <c r="G28" i="2"/>
  <c r="G26" i="2"/>
  <c r="G27" i="2"/>
  <c r="G33" i="2"/>
  <c r="G34" i="2"/>
  <c r="G36" i="2"/>
  <c r="G37" i="2"/>
  <c r="G38" i="2"/>
  <c r="G39" i="2"/>
  <c r="G40" i="2"/>
  <c r="G41" i="2"/>
  <c r="G85" i="2"/>
  <c r="G87" i="2"/>
  <c r="G86" i="2"/>
  <c r="G88" i="2"/>
  <c r="G89" i="2"/>
  <c r="G90" i="2"/>
  <c r="G47" i="2"/>
  <c r="G91" i="2"/>
  <c r="G94" i="2"/>
  <c r="G92" i="2"/>
  <c r="G93" i="2"/>
  <c r="G95" i="2"/>
  <c r="G96" i="2"/>
  <c r="G97" i="2"/>
  <c r="G98" i="2"/>
  <c r="G67" i="2"/>
  <c r="G58" i="2"/>
  <c r="G99" i="2"/>
  <c r="G60" i="2"/>
  <c r="G100" i="2"/>
  <c r="G101" i="2"/>
  <c r="G106" i="2"/>
  <c r="G102" i="2"/>
  <c r="G57" i="2"/>
  <c r="G103" i="2"/>
  <c r="G104" i="2"/>
  <c r="G105" i="2"/>
  <c r="G107" i="2"/>
  <c r="G109" i="2"/>
  <c r="G108" i="2"/>
  <c r="G70" i="2"/>
  <c r="G69" i="2"/>
  <c r="G72" i="2"/>
  <c r="G73" i="2"/>
  <c r="G71" i="2"/>
  <c r="G75" i="2"/>
  <c r="G76" i="2"/>
  <c r="G74" i="2"/>
  <c r="G78" i="2"/>
  <c r="G77" i="2"/>
  <c r="G80" i="2"/>
  <c r="G81" i="2"/>
  <c r="G83" i="2"/>
  <c r="G84" i="2"/>
  <c r="G42" i="2"/>
  <c r="G79" i="2"/>
  <c r="G82" i="2"/>
  <c r="G43" i="2"/>
  <c r="G44" i="2"/>
  <c r="G45" i="2"/>
  <c r="G46" i="2"/>
  <c r="G48" i="2"/>
  <c r="G49" i="2"/>
  <c r="G50" i="2"/>
  <c r="G51" i="2"/>
  <c r="G52" i="2"/>
  <c r="G136" i="2"/>
  <c r="G53" i="2"/>
  <c r="G59" i="2"/>
  <c r="G55" i="2"/>
  <c r="G54" i="2"/>
  <c r="G63" i="2"/>
  <c r="G56" i="2"/>
  <c r="G64" i="2"/>
  <c r="G65" i="2"/>
  <c r="G110" i="2"/>
  <c r="G66" i="2"/>
  <c r="G62" i="2"/>
  <c r="G111" i="2"/>
  <c r="G119" i="2"/>
  <c r="G114" i="2"/>
  <c r="G115" i="2"/>
  <c r="G117" i="2"/>
  <c r="G112" i="2"/>
  <c r="G121" i="2"/>
  <c r="G122" i="2"/>
  <c r="G123" i="2"/>
  <c r="G125" i="2"/>
  <c r="G127" i="2"/>
  <c r="G128" i="2"/>
  <c r="G113" i="2"/>
  <c r="G116" i="2"/>
  <c r="G120" i="2"/>
  <c r="G129" i="2"/>
  <c r="G130" i="2"/>
  <c r="G131" i="2"/>
  <c r="G132" i="2"/>
  <c r="G133" i="2"/>
  <c r="G134" i="2"/>
  <c r="G135" i="2"/>
  <c r="G137" i="2"/>
  <c r="G138" i="2"/>
  <c r="G139" i="2"/>
  <c r="W21" i="19" s="1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9" i="2"/>
  <c r="Q30" i="2"/>
  <c r="Q35" i="2"/>
  <c r="Q31" i="2"/>
  <c r="Q32" i="2"/>
  <c r="Q28" i="2"/>
  <c r="Q26" i="2"/>
  <c r="Q27" i="2"/>
  <c r="Q33" i="2"/>
  <c r="Q34" i="2"/>
  <c r="Q36" i="2"/>
  <c r="Q37" i="2"/>
  <c r="Q38" i="2"/>
  <c r="Q39" i="2"/>
  <c r="Q40" i="2"/>
  <c r="Q41" i="2"/>
  <c r="Q85" i="2"/>
  <c r="Q87" i="2"/>
  <c r="Q86" i="2"/>
  <c r="Q88" i="2"/>
  <c r="Q89" i="2"/>
  <c r="Q90" i="2"/>
  <c r="Q47" i="2"/>
  <c r="Q91" i="2"/>
  <c r="Q94" i="2"/>
  <c r="Q92" i="2"/>
  <c r="Q93" i="2"/>
  <c r="Q95" i="2"/>
  <c r="Q96" i="2"/>
  <c r="Q97" i="2"/>
  <c r="Q98" i="2"/>
  <c r="Q67" i="2"/>
  <c r="Q58" i="2"/>
  <c r="Q99" i="2"/>
  <c r="Q60" i="2"/>
  <c r="Q100" i="2"/>
  <c r="Q101" i="2"/>
  <c r="Q106" i="2"/>
  <c r="Q102" i="2"/>
  <c r="Q57" i="2"/>
  <c r="Q103" i="2"/>
  <c r="Q104" i="2"/>
  <c r="Q105" i="2"/>
  <c r="Q107" i="2"/>
  <c r="Q109" i="2"/>
  <c r="Q108" i="2"/>
  <c r="Q70" i="2"/>
  <c r="Q69" i="2"/>
  <c r="Q72" i="2"/>
  <c r="Q73" i="2"/>
  <c r="Q71" i="2"/>
  <c r="Q75" i="2"/>
  <c r="Q76" i="2"/>
  <c r="Q74" i="2"/>
  <c r="Q78" i="2"/>
  <c r="Q77" i="2"/>
  <c r="Q80" i="2"/>
  <c r="Q81" i="2"/>
  <c r="Q83" i="2"/>
  <c r="Q84" i="2"/>
  <c r="Q42" i="2"/>
  <c r="Q79" i="2"/>
  <c r="Q82" i="2"/>
  <c r="Q43" i="2"/>
  <c r="Q44" i="2"/>
  <c r="Q45" i="2"/>
  <c r="Q46" i="2"/>
  <c r="Q48" i="2"/>
  <c r="Q49" i="2"/>
  <c r="Q50" i="2"/>
  <c r="Q51" i="2"/>
  <c r="Q52" i="2"/>
  <c r="Q136" i="2"/>
  <c r="Q53" i="2"/>
  <c r="Q59" i="2"/>
  <c r="Q55" i="2"/>
  <c r="Q54" i="2"/>
  <c r="Q63" i="2"/>
  <c r="Q56" i="2"/>
  <c r="Q64" i="2"/>
  <c r="Q65" i="2"/>
  <c r="Q110" i="2"/>
  <c r="Q66" i="2"/>
  <c r="Q62" i="2"/>
  <c r="Q111" i="2"/>
  <c r="Q119" i="2"/>
  <c r="Q114" i="2"/>
  <c r="Q115" i="2"/>
  <c r="Q117" i="2"/>
  <c r="Q112" i="2"/>
  <c r="Q121" i="2"/>
  <c r="Q122" i="2"/>
  <c r="Q123" i="2"/>
  <c r="Q125" i="2"/>
  <c r="Q127" i="2"/>
  <c r="Q128" i="2"/>
  <c r="Q113" i="2"/>
  <c r="Q116" i="2"/>
  <c r="Q120" i="2"/>
  <c r="Q129" i="2"/>
  <c r="Q130" i="2"/>
  <c r="Q131" i="2"/>
  <c r="Q132" i="2"/>
  <c r="Q133" i="2"/>
  <c r="Q134" i="2"/>
  <c r="Q135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9" i="2"/>
  <c r="N30" i="2"/>
  <c r="N35" i="2"/>
  <c r="N31" i="2"/>
  <c r="N32" i="2"/>
  <c r="N28" i="2"/>
  <c r="N26" i="2"/>
  <c r="N27" i="2"/>
  <c r="N33" i="2"/>
  <c r="N34" i="2"/>
  <c r="N36" i="2"/>
  <c r="N37" i="2"/>
  <c r="N38" i="2"/>
  <c r="N39" i="2"/>
  <c r="N40" i="2"/>
  <c r="N41" i="2"/>
  <c r="N85" i="2"/>
  <c r="N87" i="2"/>
  <c r="N86" i="2"/>
  <c r="N88" i="2"/>
  <c r="N89" i="2"/>
  <c r="N90" i="2"/>
  <c r="N47" i="2"/>
  <c r="N91" i="2"/>
  <c r="N94" i="2"/>
  <c r="N92" i="2"/>
  <c r="N93" i="2"/>
  <c r="N95" i="2"/>
  <c r="N96" i="2"/>
  <c r="N97" i="2"/>
  <c r="N98" i="2"/>
  <c r="N67" i="2"/>
  <c r="N58" i="2"/>
  <c r="N99" i="2"/>
  <c r="N60" i="2"/>
  <c r="N100" i="2"/>
  <c r="N101" i="2"/>
  <c r="N106" i="2"/>
  <c r="N102" i="2"/>
  <c r="N57" i="2"/>
  <c r="N103" i="2"/>
  <c r="N104" i="2"/>
  <c r="N105" i="2"/>
  <c r="N107" i="2"/>
  <c r="N109" i="2"/>
  <c r="N108" i="2"/>
  <c r="N70" i="2"/>
  <c r="N69" i="2"/>
  <c r="N72" i="2"/>
  <c r="N73" i="2"/>
  <c r="N71" i="2"/>
  <c r="N75" i="2"/>
  <c r="N76" i="2"/>
  <c r="N74" i="2"/>
  <c r="N78" i="2"/>
  <c r="N77" i="2"/>
  <c r="N80" i="2"/>
  <c r="N81" i="2"/>
  <c r="N83" i="2"/>
  <c r="N84" i="2"/>
  <c r="N42" i="2"/>
  <c r="N79" i="2"/>
  <c r="N82" i="2"/>
  <c r="N43" i="2"/>
  <c r="N44" i="2"/>
  <c r="N45" i="2"/>
  <c r="N46" i="2"/>
  <c r="N48" i="2"/>
  <c r="N49" i="2"/>
  <c r="N50" i="2"/>
  <c r="N51" i="2"/>
  <c r="N52" i="2"/>
  <c r="N136" i="2"/>
  <c r="N53" i="2"/>
  <c r="N59" i="2"/>
  <c r="N55" i="2"/>
  <c r="N54" i="2"/>
  <c r="N63" i="2"/>
  <c r="N56" i="2"/>
  <c r="N64" i="2"/>
  <c r="N65" i="2"/>
  <c r="N110" i="2"/>
  <c r="N66" i="2"/>
  <c r="N62" i="2"/>
  <c r="N111" i="2"/>
  <c r="N119" i="2"/>
  <c r="N114" i="2"/>
  <c r="N115" i="2"/>
  <c r="N117" i="2"/>
  <c r="N112" i="2"/>
  <c r="N121" i="2"/>
  <c r="N122" i="2"/>
  <c r="N123" i="2"/>
  <c r="N125" i="2"/>
  <c r="N127" i="2"/>
  <c r="N128" i="2"/>
  <c r="N113" i="2"/>
  <c r="N116" i="2"/>
  <c r="N120" i="2"/>
  <c r="N129" i="2"/>
  <c r="N130" i="2"/>
  <c r="N131" i="2"/>
  <c r="N132" i="2"/>
  <c r="N133" i="2"/>
  <c r="N134" i="2"/>
  <c r="N135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9" i="2"/>
  <c r="L30" i="2"/>
  <c r="L35" i="2"/>
  <c r="L31" i="2"/>
  <c r="L32" i="2"/>
  <c r="L28" i="2"/>
  <c r="L26" i="2"/>
  <c r="L27" i="2"/>
  <c r="L33" i="2"/>
  <c r="L34" i="2"/>
  <c r="L36" i="2"/>
  <c r="L37" i="2"/>
  <c r="L38" i="2"/>
  <c r="L39" i="2"/>
  <c r="L40" i="2"/>
  <c r="L41" i="2"/>
  <c r="L85" i="2"/>
  <c r="L87" i="2"/>
  <c r="L86" i="2"/>
  <c r="L88" i="2"/>
  <c r="L89" i="2"/>
  <c r="L90" i="2"/>
  <c r="L47" i="2"/>
  <c r="L91" i="2"/>
  <c r="L94" i="2"/>
  <c r="L92" i="2"/>
  <c r="L93" i="2"/>
  <c r="L95" i="2"/>
  <c r="L96" i="2"/>
  <c r="L97" i="2"/>
  <c r="L98" i="2"/>
  <c r="L67" i="2"/>
  <c r="L58" i="2"/>
  <c r="L99" i="2"/>
  <c r="L60" i="2"/>
  <c r="L100" i="2"/>
  <c r="L101" i="2"/>
  <c r="L106" i="2"/>
  <c r="L102" i="2"/>
  <c r="L57" i="2"/>
  <c r="L103" i="2"/>
  <c r="L104" i="2"/>
  <c r="L105" i="2"/>
  <c r="L107" i="2"/>
  <c r="L109" i="2"/>
  <c r="L108" i="2"/>
  <c r="L70" i="2"/>
  <c r="L69" i="2"/>
  <c r="L72" i="2"/>
  <c r="L73" i="2"/>
  <c r="L71" i="2"/>
  <c r="L75" i="2"/>
  <c r="L76" i="2"/>
  <c r="L74" i="2"/>
  <c r="L78" i="2"/>
  <c r="L77" i="2"/>
  <c r="L80" i="2"/>
  <c r="L81" i="2"/>
  <c r="L83" i="2"/>
  <c r="L84" i="2"/>
  <c r="L42" i="2"/>
  <c r="L79" i="2"/>
  <c r="L82" i="2"/>
  <c r="L43" i="2"/>
  <c r="L44" i="2"/>
  <c r="L45" i="2"/>
  <c r="L46" i="2"/>
  <c r="L48" i="2"/>
  <c r="L49" i="2"/>
  <c r="L50" i="2"/>
  <c r="L51" i="2"/>
  <c r="L52" i="2"/>
  <c r="L136" i="2"/>
  <c r="L53" i="2"/>
  <c r="L59" i="2"/>
  <c r="L55" i="2"/>
  <c r="L54" i="2"/>
  <c r="L63" i="2"/>
  <c r="L56" i="2"/>
  <c r="L64" i="2"/>
  <c r="L65" i="2"/>
  <c r="L110" i="2"/>
  <c r="L66" i="2"/>
  <c r="L62" i="2"/>
  <c r="L111" i="2"/>
  <c r="L119" i="2"/>
  <c r="L114" i="2"/>
  <c r="L115" i="2"/>
  <c r="L117" i="2"/>
  <c r="L112" i="2"/>
  <c r="L121" i="2"/>
  <c r="L122" i="2"/>
  <c r="L123" i="2"/>
  <c r="L125" i="2"/>
  <c r="L127" i="2"/>
  <c r="L128" i="2"/>
  <c r="L113" i="2"/>
  <c r="L116" i="2"/>
  <c r="L120" i="2"/>
  <c r="L129" i="2"/>
  <c r="L130" i="2"/>
  <c r="L131" i="2"/>
  <c r="L132" i="2"/>
  <c r="L133" i="2"/>
  <c r="L134" i="2"/>
  <c r="L135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M126" i="2" l="1"/>
  <c r="O126" i="2" s="1"/>
  <c r="M118" i="2"/>
  <c r="O118" i="2" s="1"/>
  <c r="M124" i="2"/>
  <c r="O124" i="2" s="1"/>
  <c r="M3" i="2"/>
  <c r="O3" i="2" s="1"/>
  <c r="M61" i="2"/>
  <c r="O61" i="2" s="1"/>
  <c r="M68" i="2"/>
  <c r="O68" i="2" s="1"/>
  <c r="B6" i="23"/>
  <c r="B7" i="23"/>
  <c r="B5" i="23"/>
  <c r="K6" i="23"/>
  <c r="K5" i="23"/>
  <c r="K7" i="23"/>
  <c r="P5" i="23"/>
  <c r="L5" i="23"/>
  <c r="P7" i="23"/>
  <c r="R6" i="23"/>
  <c r="M6" i="23"/>
  <c r="Q6" i="23"/>
  <c r="L6" i="23"/>
  <c r="O5" i="23"/>
  <c r="N5" i="23" s="1"/>
  <c r="R7" i="23"/>
  <c r="P6" i="23"/>
  <c r="R5" i="23"/>
  <c r="M5" i="23"/>
  <c r="O6" i="23"/>
  <c r="N6" i="23" s="1"/>
  <c r="Q5" i="23"/>
  <c r="A7" i="23"/>
  <c r="M7" i="23" s="1"/>
  <c r="M82" i="2"/>
  <c r="O82" i="2" s="1"/>
  <c r="M140" i="2"/>
  <c r="O140" i="2" s="1"/>
  <c r="M116" i="2"/>
  <c r="O116" i="2" s="1"/>
  <c r="M66" i="2"/>
  <c r="O66" i="2" s="1"/>
  <c r="M56" i="2"/>
  <c r="O56" i="2" s="1"/>
  <c r="M46" i="2"/>
  <c r="O46" i="2" s="1"/>
  <c r="M71" i="2"/>
  <c r="O71" i="2" s="1"/>
  <c r="M70" i="2"/>
  <c r="O70" i="2" s="1"/>
  <c r="M125" i="2"/>
  <c r="O125" i="2" s="1"/>
  <c r="M138" i="2"/>
  <c r="O138" i="2" s="1"/>
  <c r="M133" i="2"/>
  <c r="O133" i="2" s="1"/>
  <c r="M129" i="2"/>
  <c r="O129" i="2" s="1"/>
  <c r="M128" i="2"/>
  <c r="O128" i="2" s="1"/>
  <c r="M122" i="2"/>
  <c r="O122" i="2" s="1"/>
  <c r="M115" i="2"/>
  <c r="O115" i="2" s="1"/>
  <c r="M62" i="2"/>
  <c r="O62" i="2" s="1"/>
  <c r="M65" i="2"/>
  <c r="O65" i="2" s="1"/>
  <c r="M54" i="2"/>
  <c r="O54" i="2" s="1"/>
  <c r="M136" i="2"/>
  <c r="O136" i="2" s="1"/>
  <c r="M49" i="2"/>
  <c r="O49" i="2" s="1"/>
  <c r="M44" i="2"/>
  <c r="O44" i="2" s="1"/>
  <c r="M42" i="2"/>
  <c r="O42" i="2" s="1"/>
  <c r="M80" i="2"/>
  <c r="O80" i="2" s="1"/>
  <c r="M76" i="2"/>
  <c r="O76" i="2" s="1"/>
  <c r="M72" i="2"/>
  <c r="O72" i="2" s="1"/>
  <c r="M109" i="2"/>
  <c r="O109" i="2" s="1"/>
  <c r="M104" i="2"/>
  <c r="O104" i="2" s="1"/>
  <c r="M106" i="2"/>
  <c r="O106" i="2" s="1"/>
  <c r="M99" i="2"/>
  <c r="O99" i="2" s="1"/>
  <c r="M97" i="2"/>
  <c r="O97" i="2" s="1"/>
  <c r="M92" i="2"/>
  <c r="O92" i="2" s="1"/>
  <c r="M90" i="2"/>
  <c r="O90" i="2" s="1"/>
  <c r="M87" i="2"/>
  <c r="O87" i="2" s="1"/>
  <c r="M39" i="2"/>
  <c r="O39" i="2" s="1"/>
  <c r="M34" i="2"/>
  <c r="O34" i="2" s="1"/>
  <c r="M28" i="2"/>
  <c r="O28" i="2" s="1"/>
  <c r="M30" i="2"/>
  <c r="O30" i="2" s="1"/>
  <c r="M23" i="2"/>
  <c r="O23" i="2" s="1"/>
  <c r="M19" i="2"/>
  <c r="O19" i="2" s="1"/>
  <c r="M15" i="2"/>
  <c r="O15" i="2" s="1"/>
  <c r="M11" i="2"/>
  <c r="O11" i="2" s="1"/>
  <c r="M7" i="2"/>
  <c r="O7" i="2" s="1"/>
  <c r="M13" i="2"/>
  <c r="O13" i="2" s="1"/>
  <c r="M31" i="2"/>
  <c r="O31" i="2" s="1"/>
  <c r="M41" i="2"/>
  <c r="O41" i="2" s="1"/>
  <c r="M95" i="2"/>
  <c r="O95" i="2" s="1"/>
  <c r="M57" i="2"/>
  <c r="O57" i="2" s="1"/>
  <c r="M5" i="2"/>
  <c r="O5" i="2" s="1"/>
  <c r="M17" i="2"/>
  <c r="O17" i="2" s="1"/>
  <c r="M25" i="2"/>
  <c r="O25" i="2" s="1"/>
  <c r="M37" i="2"/>
  <c r="O37" i="2" s="1"/>
  <c r="M91" i="2"/>
  <c r="O91" i="2" s="1"/>
  <c r="M100" i="2"/>
  <c r="O100" i="2" s="1"/>
  <c r="M9" i="2"/>
  <c r="O9" i="2" s="1"/>
  <c r="M21" i="2"/>
  <c r="O21" i="2" s="1"/>
  <c r="M27" i="2"/>
  <c r="O27" i="2" s="1"/>
  <c r="M88" i="2"/>
  <c r="O88" i="2" s="1"/>
  <c r="M67" i="2"/>
  <c r="O67" i="2" s="1"/>
  <c r="M135" i="2"/>
  <c r="O135" i="2" s="1"/>
  <c r="M112" i="2"/>
  <c r="O112" i="2" s="1"/>
  <c r="M59" i="2"/>
  <c r="O59" i="2" s="1"/>
  <c r="M83" i="2"/>
  <c r="O83" i="2" s="1"/>
  <c r="M107" i="2"/>
  <c r="O107" i="2" s="1"/>
  <c r="M131" i="2"/>
  <c r="O131" i="2" s="1"/>
  <c r="M119" i="2"/>
  <c r="O119" i="2" s="1"/>
  <c r="M51" i="2"/>
  <c r="O51" i="2" s="1"/>
  <c r="M78" i="2"/>
  <c r="O78" i="2" s="1"/>
  <c r="M139" i="2"/>
  <c r="O139" i="2" s="1"/>
  <c r="M134" i="2"/>
  <c r="O134" i="2" s="1"/>
  <c r="M130" i="2"/>
  <c r="O130" i="2" s="1"/>
  <c r="M113" i="2"/>
  <c r="O113" i="2" s="1"/>
  <c r="M123" i="2"/>
  <c r="O123" i="2" s="1"/>
  <c r="M117" i="2"/>
  <c r="O117" i="2" s="1"/>
  <c r="M111" i="2"/>
  <c r="O111" i="2" s="1"/>
  <c r="M110" i="2"/>
  <c r="O110" i="2" s="1"/>
  <c r="M63" i="2"/>
  <c r="O63" i="2" s="1"/>
  <c r="M53" i="2"/>
  <c r="O53" i="2" s="1"/>
  <c r="M50" i="2"/>
  <c r="O50" i="2" s="1"/>
  <c r="M45" i="2"/>
  <c r="O45" i="2" s="1"/>
  <c r="M79" i="2"/>
  <c r="O79" i="2" s="1"/>
  <c r="M81" i="2"/>
  <c r="O81" i="2" s="1"/>
  <c r="M74" i="2"/>
  <c r="O74" i="2" s="1"/>
  <c r="M73" i="2"/>
  <c r="O73" i="2" s="1"/>
  <c r="M108" i="2"/>
  <c r="O108" i="2" s="1"/>
  <c r="M105" i="2"/>
  <c r="O105" i="2" s="1"/>
  <c r="M102" i="2"/>
  <c r="O102" i="2" s="1"/>
  <c r="M60" i="2"/>
  <c r="O60" i="2" s="1"/>
  <c r="M98" i="2"/>
  <c r="O98" i="2" s="1"/>
  <c r="M93" i="2"/>
  <c r="O93" i="2" s="1"/>
  <c r="M47" i="2"/>
  <c r="O47" i="2" s="1"/>
  <c r="M86" i="2"/>
  <c r="O86" i="2" s="1"/>
  <c r="M40" i="2"/>
  <c r="O40" i="2" s="1"/>
  <c r="M36" i="2"/>
  <c r="O36" i="2" s="1"/>
  <c r="M26" i="2"/>
  <c r="O26" i="2" s="1"/>
  <c r="M35" i="2"/>
  <c r="O35" i="2" s="1"/>
  <c r="M24" i="2"/>
  <c r="O24" i="2" s="1"/>
  <c r="M20" i="2"/>
  <c r="O20" i="2" s="1"/>
  <c r="M16" i="2"/>
  <c r="O16" i="2" s="1"/>
  <c r="M12" i="2"/>
  <c r="O12" i="2" s="1"/>
  <c r="M8" i="2"/>
  <c r="O8" i="2" s="1"/>
  <c r="M4" i="2"/>
  <c r="O4" i="2" s="1"/>
  <c r="M141" i="2"/>
  <c r="O141" i="2" s="1"/>
  <c r="M137" i="2"/>
  <c r="O137" i="2" s="1"/>
  <c r="M132" i="2"/>
  <c r="O132" i="2" s="1"/>
  <c r="M120" i="2"/>
  <c r="O120" i="2" s="1"/>
  <c r="M127" i="2"/>
  <c r="O127" i="2" s="1"/>
  <c r="M121" i="2"/>
  <c r="O121" i="2" s="1"/>
  <c r="M114" i="2"/>
  <c r="O114" i="2" s="1"/>
  <c r="M64" i="2"/>
  <c r="O64" i="2" s="1"/>
  <c r="M55" i="2"/>
  <c r="O55" i="2" s="1"/>
  <c r="M52" i="2"/>
  <c r="O52" i="2" s="1"/>
  <c r="M48" i="2"/>
  <c r="O48" i="2" s="1"/>
  <c r="M43" i="2"/>
  <c r="O43" i="2" s="1"/>
  <c r="M84" i="2"/>
  <c r="O84" i="2" s="1"/>
  <c r="M77" i="2"/>
  <c r="O77" i="2" s="1"/>
  <c r="M75" i="2"/>
  <c r="O75" i="2" s="1"/>
  <c r="M69" i="2"/>
  <c r="O69" i="2" s="1"/>
  <c r="M103" i="2"/>
  <c r="O103" i="2" s="1"/>
  <c r="M101" i="2"/>
  <c r="O101" i="2" s="1"/>
  <c r="M58" i="2"/>
  <c r="O58" i="2" s="1"/>
  <c r="M96" i="2"/>
  <c r="O96" i="2" s="1"/>
  <c r="M94" i="2"/>
  <c r="O94" i="2" s="1"/>
  <c r="M89" i="2"/>
  <c r="O89" i="2" s="1"/>
  <c r="M85" i="2"/>
  <c r="O85" i="2" s="1"/>
  <c r="M38" i="2"/>
  <c r="O38" i="2" s="1"/>
  <c r="M33" i="2"/>
  <c r="O33" i="2" s="1"/>
  <c r="M32" i="2"/>
  <c r="O32" i="2" s="1"/>
  <c r="M29" i="2"/>
  <c r="O29" i="2" s="1"/>
  <c r="M22" i="2"/>
  <c r="O22" i="2" s="1"/>
  <c r="M18" i="2"/>
  <c r="O18" i="2" s="1"/>
  <c r="M14" i="2"/>
  <c r="O14" i="2" s="1"/>
  <c r="M10" i="2"/>
  <c r="O10" i="2" s="1"/>
  <c r="M6" i="2"/>
  <c r="O6" i="2" s="1"/>
  <c r="W14" i="19"/>
  <c r="X14" i="19" s="1"/>
  <c r="BB16" i="22"/>
  <c r="BA16" i="22"/>
  <c r="AZ16" i="22"/>
  <c r="AY16" i="22"/>
  <c r="AX16" i="22"/>
  <c r="AW16" i="22"/>
  <c r="AV16" i="22"/>
  <c r="AU16" i="22" s="1"/>
  <c r="BB15" i="22"/>
  <c r="BA15" i="22"/>
  <c r="AZ15" i="22"/>
  <c r="AY15" i="22"/>
  <c r="AX15" i="22"/>
  <c r="AW15" i="22"/>
  <c r="AV15" i="22"/>
  <c r="BB14" i="22"/>
  <c r="BA14" i="22"/>
  <c r="AZ14" i="22"/>
  <c r="AY14" i="22"/>
  <c r="AX14" i="22"/>
  <c r="AW14" i="22"/>
  <c r="AV14" i="22"/>
  <c r="AU14" i="22" s="1"/>
  <c r="BB13" i="22"/>
  <c r="BA13" i="22"/>
  <c r="AZ13" i="22"/>
  <c r="AY13" i="22"/>
  <c r="AX13" i="22"/>
  <c r="AW13" i="22"/>
  <c r="AV13" i="22"/>
  <c r="AU13" i="22" s="1"/>
  <c r="BB12" i="22"/>
  <c r="BA12" i="22"/>
  <c r="AZ12" i="22"/>
  <c r="AY12" i="22"/>
  <c r="AX12" i="22"/>
  <c r="AW12" i="22"/>
  <c r="AV12" i="22"/>
  <c r="AU12" i="22" s="1"/>
  <c r="BB11" i="22"/>
  <c r="BA11" i="22"/>
  <c r="AZ11" i="22"/>
  <c r="AY11" i="22"/>
  <c r="AX11" i="22"/>
  <c r="AW11" i="22"/>
  <c r="AV11" i="22"/>
  <c r="AS16" i="22"/>
  <c r="AR16" i="22"/>
  <c r="AQ16" i="22"/>
  <c r="AP16" i="22"/>
  <c r="AO16" i="22"/>
  <c r="AN16" i="22"/>
  <c r="AM16" i="22"/>
  <c r="AL16" i="22" s="1"/>
  <c r="AS15" i="22"/>
  <c r="AR15" i="22"/>
  <c r="AQ15" i="22"/>
  <c r="AP15" i="22"/>
  <c r="AO15" i="22"/>
  <c r="AN15" i="22"/>
  <c r="AM15" i="22"/>
  <c r="AL15" i="22" s="1"/>
  <c r="AS14" i="22"/>
  <c r="AR14" i="22"/>
  <c r="AQ14" i="22"/>
  <c r="AP14" i="22"/>
  <c r="AO14" i="22"/>
  <c r="AN14" i="22"/>
  <c r="AM14" i="22"/>
  <c r="AL14" i="22" s="1"/>
  <c r="AS13" i="22"/>
  <c r="AR13" i="22"/>
  <c r="AQ13" i="22"/>
  <c r="AP13" i="22"/>
  <c r="AO13" i="22"/>
  <c r="AN13" i="22"/>
  <c r="AM13" i="22"/>
  <c r="AL13" i="22" s="1"/>
  <c r="AS12" i="22"/>
  <c r="AR12" i="22"/>
  <c r="AQ12" i="22"/>
  <c r="AP12" i="22"/>
  <c r="AO12" i="22"/>
  <c r="AN12" i="22"/>
  <c r="AM12" i="22"/>
  <c r="AL12" i="22" s="1"/>
  <c r="AS11" i="22"/>
  <c r="AR11" i="22"/>
  <c r="AQ11" i="22"/>
  <c r="AP11" i="22"/>
  <c r="AO11" i="22"/>
  <c r="AN11" i="22"/>
  <c r="AM11" i="22"/>
  <c r="AL11" i="22" s="1"/>
  <c r="BB8" i="22"/>
  <c r="BA8" i="22"/>
  <c r="AZ8" i="22"/>
  <c r="AY8" i="22"/>
  <c r="AX8" i="22"/>
  <c r="AW8" i="22"/>
  <c r="AV8" i="22"/>
  <c r="AU8" i="22" s="1"/>
  <c r="BB7" i="22"/>
  <c r="BA7" i="22"/>
  <c r="AZ7" i="22"/>
  <c r="AY7" i="22"/>
  <c r="AX7" i="22"/>
  <c r="AW7" i="22"/>
  <c r="AV7" i="22"/>
  <c r="BB6" i="22"/>
  <c r="BA6" i="22"/>
  <c r="AZ6" i="22"/>
  <c r="AY6" i="22"/>
  <c r="AX6" i="22"/>
  <c r="AW6" i="22"/>
  <c r="AV6" i="22"/>
  <c r="AU6" i="22" s="1"/>
  <c r="BB5" i="22"/>
  <c r="BA5" i="22"/>
  <c r="AZ5" i="22"/>
  <c r="AY5" i="22"/>
  <c r="AX5" i="22"/>
  <c r="AW5" i="22"/>
  <c r="AV5" i="22"/>
  <c r="AU5" i="22" s="1"/>
  <c r="BB4" i="22"/>
  <c r="BA4" i="22"/>
  <c r="AZ4" i="22"/>
  <c r="AY4" i="22"/>
  <c r="AX4" i="22"/>
  <c r="AW4" i="22"/>
  <c r="AV4" i="22"/>
  <c r="BB3" i="22"/>
  <c r="BA3" i="22"/>
  <c r="AZ3" i="22"/>
  <c r="AY3" i="22"/>
  <c r="AX3" i="22"/>
  <c r="AW3" i="22"/>
  <c r="AV3" i="22"/>
  <c r="AU3" i="22" s="1"/>
  <c r="AS8" i="22"/>
  <c r="AR8" i="22"/>
  <c r="AQ8" i="22"/>
  <c r="AP8" i="22"/>
  <c r="AO8" i="22"/>
  <c r="AN8" i="22"/>
  <c r="AM8" i="22"/>
  <c r="AL8" i="22" s="1"/>
  <c r="AS7" i="22"/>
  <c r="AR7" i="22"/>
  <c r="AQ7" i="22"/>
  <c r="AP7" i="22"/>
  <c r="AO7" i="22"/>
  <c r="AN7" i="22"/>
  <c r="AM7" i="22"/>
  <c r="AS6" i="22"/>
  <c r="AR6" i="22"/>
  <c r="AQ6" i="22"/>
  <c r="AP6" i="22"/>
  <c r="AO6" i="22"/>
  <c r="AN6" i="22"/>
  <c r="AM6" i="22"/>
  <c r="AL6" i="22" s="1"/>
  <c r="AS5" i="22"/>
  <c r="AR5" i="22"/>
  <c r="AQ5" i="22"/>
  <c r="AP5" i="22"/>
  <c r="AO5" i="22"/>
  <c r="AN5" i="22"/>
  <c r="AM5" i="22"/>
  <c r="AL5" i="22" s="1"/>
  <c r="AS4" i="22"/>
  <c r="AR4" i="22"/>
  <c r="AQ4" i="22"/>
  <c r="AP4" i="22"/>
  <c r="AO4" i="22"/>
  <c r="AN4" i="22"/>
  <c r="AM4" i="22"/>
  <c r="AL4" i="22" s="1"/>
  <c r="AS3" i="22"/>
  <c r="AR3" i="22"/>
  <c r="AQ3" i="22"/>
  <c r="AP3" i="22"/>
  <c r="AO3" i="22"/>
  <c r="AN3" i="22"/>
  <c r="AM3" i="22"/>
  <c r="AL3" i="22" s="1"/>
  <c r="AU15" i="22"/>
  <c r="AU11" i="22"/>
  <c r="AU7" i="22"/>
  <c r="AL7" i="22"/>
  <c r="AU4" i="22"/>
  <c r="AL1" i="22"/>
  <c r="AJ16" i="22"/>
  <c r="AI16" i="22"/>
  <c r="AH16" i="22"/>
  <c r="AG16" i="22"/>
  <c r="AF16" i="22"/>
  <c r="AE16" i="22"/>
  <c r="AD16" i="22"/>
  <c r="AJ15" i="22"/>
  <c r="AI15" i="22"/>
  <c r="AH15" i="22"/>
  <c r="AG15" i="22"/>
  <c r="AF15" i="22"/>
  <c r="AE15" i="22"/>
  <c r="AD15" i="22"/>
  <c r="AJ14" i="22"/>
  <c r="AI14" i="22"/>
  <c r="AH14" i="22"/>
  <c r="AG14" i="22"/>
  <c r="AF14" i="22"/>
  <c r="AE14" i="22"/>
  <c r="AD14" i="22"/>
  <c r="AJ13" i="22"/>
  <c r="AI13" i="22"/>
  <c r="AH13" i="22"/>
  <c r="AG13" i="22"/>
  <c r="AF13" i="22"/>
  <c r="AE13" i="22"/>
  <c r="AD13" i="22"/>
  <c r="AJ12" i="22"/>
  <c r="AI12" i="22"/>
  <c r="AH12" i="22"/>
  <c r="AG12" i="22"/>
  <c r="AF12" i="22"/>
  <c r="AE12" i="22"/>
  <c r="AD12" i="22"/>
  <c r="AJ11" i="22"/>
  <c r="AI11" i="22"/>
  <c r="AH11" i="22"/>
  <c r="AG11" i="22"/>
  <c r="AF11" i="22"/>
  <c r="AE11" i="22"/>
  <c r="AD11" i="22"/>
  <c r="AA16" i="22"/>
  <c r="Z16" i="22"/>
  <c r="Y16" i="22"/>
  <c r="X16" i="22"/>
  <c r="W16" i="22"/>
  <c r="V16" i="22"/>
  <c r="U16" i="22"/>
  <c r="AA15" i="22"/>
  <c r="Z15" i="22"/>
  <c r="Y15" i="22"/>
  <c r="X15" i="22"/>
  <c r="W15" i="22"/>
  <c r="V15" i="22"/>
  <c r="U15" i="22"/>
  <c r="AA14" i="22"/>
  <c r="Z14" i="22"/>
  <c r="Y14" i="22"/>
  <c r="X14" i="22"/>
  <c r="W14" i="22"/>
  <c r="V14" i="22"/>
  <c r="U14" i="22"/>
  <c r="AA13" i="22"/>
  <c r="Z13" i="22"/>
  <c r="Y13" i="22"/>
  <c r="X13" i="22"/>
  <c r="W13" i="22"/>
  <c r="V13" i="22"/>
  <c r="U13" i="22"/>
  <c r="AA12" i="22"/>
  <c r="Z12" i="22"/>
  <c r="Y12" i="22"/>
  <c r="X12" i="22"/>
  <c r="W12" i="22"/>
  <c r="V12" i="22"/>
  <c r="U12" i="22"/>
  <c r="AA11" i="22"/>
  <c r="Z11" i="22"/>
  <c r="Y11" i="22"/>
  <c r="X11" i="22"/>
  <c r="W11" i="22"/>
  <c r="V11" i="22"/>
  <c r="U11" i="22"/>
  <c r="AJ8" i="22"/>
  <c r="AI8" i="22"/>
  <c r="AH8" i="22"/>
  <c r="AG8" i="22"/>
  <c r="AF8" i="22"/>
  <c r="AE8" i="22"/>
  <c r="AD8" i="22"/>
  <c r="AJ7" i="22"/>
  <c r="AI7" i="22"/>
  <c r="AH7" i="22"/>
  <c r="AG7" i="22"/>
  <c r="AF7" i="22"/>
  <c r="AE7" i="22"/>
  <c r="AD7" i="22"/>
  <c r="AJ6" i="22"/>
  <c r="AI6" i="22"/>
  <c r="AH6" i="22"/>
  <c r="AG6" i="22"/>
  <c r="AF6" i="22"/>
  <c r="AE6" i="22"/>
  <c r="AD6" i="22"/>
  <c r="AJ5" i="22"/>
  <c r="AI5" i="22"/>
  <c r="AH5" i="22"/>
  <c r="AG5" i="22"/>
  <c r="AF5" i="22"/>
  <c r="AE5" i="22"/>
  <c r="AD5" i="22"/>
  <c r="AJ4" i="22"/>
  <c r="AI4" i="22"/>
  <c r="AH4" i="22"/>
  <c r="AG4" i="22"/>
  <c r="AF4" i="22"/>
  <c r="AE4" i="22"/>
  <c r="AD4" i="22"/>
  <c r="AJ3" i="22"/>
  <c r="AI3" i="22"/>
  <c r="AH3" i="22"/>
  <c r="AG3" i="22"/>
  <c r="AF3" i="22"/>
  <c r="AE3" i="22"/>
  <c r="AD3" i="22"/>
  <c r="AA8" i="22"/>
  <c r="Z8" i="22"/>
  <c r="Y8" i="22"/>
  <c r="X8" i="22"/>
  <c r="W8" i="22"/>
  <c r="V8" i="22"/>
  <c r="U8" i="22"/>
  <c r="AA7" i="22"/>
  <c r="Z7" i="22"/>
  <c r="Y7" i="22"/>
  <c r="X7" i="22"/>
  <c r="W7" i="22"/>
  <c r="V7" i="22"/>
  <c r="U7" i="22"/>
  <c r="AA6" i="22"/>
  <c r="Z6" i="22"/>
  <c r="Y6" i="22"/>
  <c r="X6" i="22"/>
  <c r="W6" i="22"/>
  <c r="V6" i="22"/>
  <c r="U6" i="22"/>
  <c r="AA5" i="22"/>
  <c r="Z5" i="22"/>
  <c r="Y5" i="22"/>
  <c r="X5" i="22"/>
  <c r="W5" i="22"/>
  <c r="V5" i="22"/>
  <c r="U5" i="22"/>
  <c r="AA4" i="22"/>
  <c r="Z4" i="22"/>
  <c r="Y4" i="22"/>
  <c r="X4" i="22"/>
  <c r="W4" i="22"/>
  <c r="V4" i="22"/>
  <c r="U4" i="22"/>
  <c r="AA3" i="22"/>
  <c r="Z3" i="22"/>
  <c r="Y3" i="22"/>
  <c r="X3" i="22"/>
  <c r="W3" i="22"/>
  <c r="V3" i="22"/>
  <c r="U3" i="22"/>
  <c r="L7" i="23" l="1"/>
  <c r="O7" i="23"/>
  <c r="N7" i="23" s="1"/>
  <c r="Q7" i="23"/>
  <c r="F19" i="22"/>
  <c r="G19" i="22"/>
  <c r="A8" i="23"/>
  <c r="W15" i="19"/>
  <c r="X15" i="19" s="1"/>
  <c r="W17" i="19"/>
  <c r="X17" i="19" s="1"/>
  <c r="W18" i="19"/>
  <c r="X18" i="19" s="1"/>
  <c r="W16" i="19"/>
  <c r="X16" i="19" s="1"/>
  <c r="W11" i="19"/>
  <c r="X11" i="19" s="1"/>
  <c r="W13" i="19"/>
  <c r="X13" i="19" s="1"/>
  <c r="W12" i="19"/>
  <c r="X12" i="19" s="1"/>
  <c r="W10" i="19"/>
  <c r="X10" i="19" s="1"/>
  <c r="W8" i="19"/>
  <c r="X8" i="19" s="1"/>
  <c r="W9" i="19"/>
  <c r="X9" i="19" s="1"/>
  <c r="T1" i="22"/>
  <c r="AC16" i="22"/>
  <c r="T16" i="22"/>
  <c r="AC15" i="22"/>
  <c r="T15" i="22"/>
  <c r="AC14" i="22"/>
  <c r="T14" i="22"/>
  <c r="AC13" i="22"/>
  <c r="T13" i="22"/>
  <c r="AC12" i="22"/>
  <c r="T12" i="22"/>
  <c r="AC11" i="22"/>
  <c r="T11" i="22"/>
  <c r="AC8" i="22"/>
  <c r="T8" i="22"/>
  <c r="AC7" i="22"/>
  <c r="T7" i="22"/>
  <c r="AC6" i="22"/>
  <c r="T6" i="22"/>
  <c r="AC5" i="22"/>
  <c r="T5" i="22"/>
  <c r="AC4" i="22"/>
  <c r="T4" i="22"/>
  <c r="AC3" i="22"/>
  <c r="T3" i="22"/>
  <c r="K8" i="23" l="1"/>
  <c r="Q8" i="23"/>
  <c r="O8" i="23"/>
  <c r="N8" i="23" s="1"/>
  <c r="R8" i="23"/>
  <c r="L8" i="23"/>
  <c r="B8" i="23"/>
  <c r="M8" i="23"/>
  <c r="P8" i="23"/>
  <c r="A9" i="23"/>
  <c r="C37" i="3"/>
  <c r="C36" i="3"/>
  <c r="C2" i="3"/>
  <c r="F21" i="22" l="1"/>
  <c r="G21" i="22"/>
  <c r="F20" i="22"/>
  <c r="G20" i="22"/>
  <c r="C38" i="3"/>
  <c r="K9" i="23"/>
  <c r="O9" i="23"/>
  <c r="N9" i="23" s="1"/>
  <c r="L9" i="23"/>
  <c r="P9" i="23"/>
  <c r="R9" i="23"/>
  <c r="M9" i="23"/>
  <c r="B9" i="23"/>
  <c r="Q9" i="23"/>
  <c r="A10" i="23"/>
  <c r="A36" i="3"/>
  <c r="R16" i="22"/>
  <c r="Q16" i="22"/>
  <c r="P16" i="22"/>
  <c r="O16" i="22"/>
  <c r="N16" i="22"/>
  <c r="M16" i="22"/>
  <c r="L16" i="22"/>
  <c r="K16" i="22" s="1"/>
  <c r="R15" i="22"/>
  <c r="Q15" i="22"/>
  <c r="P15" i="22"/>
  <c r="O15" i="22"/>
  <c r="N15" i="22"/>
  <c r="M15" i="22"/>
  <c r="L15" i="22"/>
  <c r="K15" i="22" s="1"/>
  <c r="R14" i="22"/>
  <c r="Q14" i="22"/>
  <c r="P14" i="22"/>
  <c r="O14" i="22"/>
  <c r="N14" i="22"/>
  <c r="M14" i="22"/>
  <c r="L14" i="22"/>
  <c r="K14" i="22" s="1"/>
  <c r="R13" i="22"/>
  <c r="Q13" i="22"/>
  <c r="P13" i="22"/>
  <c r="O13" i="22"/>
  <c r="N13" i="22"/>
  <c r="M13" i="22"/>
  <c r="L13" i="22"/>
  <c r="K13" i="22" s="1"/>
  <c r="R12" i="22"/>
  <c r="Q12" i="22"/>
  <c r="P12" i="22"/>
  <c r="O12" i="22"/>
  <c r="N12" i="22"/>
  <c r="M12" i="22"/>
  <c r="L12" i="22"/>
  <c r="K12" i="22" s="1"/>
  <c r="R11" i="22"/>
  <c r="Q11" i="22"/>
  <c r="P11" i="22"/>
  <c r="O11" i="22"/>
  <c r="N11" i="22"/>
  <c r="M11" i="22"/>
  <c r="L11" i="22"/>
  <c r="K11" i="22" s="1"/>
  <c r="I16" i="22"/>
  <c r="H16" i="22"/>
  <c r="G16" i="22"/>
  <c r="F16" i="22"/>
  <c r="E16" i="22"/>
  <c r="D16" i="22"/>
  <c r="C16" i="22"/>
  <c r="B16" i="22" s="1"/>
  <c r="I15" i="22"/>
  <c r="H15" i="22"/>
  <c r="G15" i="22"/>
  <c r="F15" i="22"/>
  <c r="E15" i="22"/>
  <c r="D15" i="22"/>
  <c r="C15" i="22"/>
  <c r="B15" i="22" s="1"/>
  <c r="I14" i="22"/>
  <c r="H14" i="22"/>
  <c r="G14" i="22"/>
  <c r="F14" i="22"/>
  <c r="E14" i="22"/>
  <c r="D14" i="22"/>
  <c r="C14" i="22"/>
  <c r="B14" i="22" s="1"/>
  <c r="I13" i="22"/>
  <c r="H13" i="22"/>
  <c r="G13" i="22"/>
  <c r="F13" i="22"/>
  <c r="E13" i="22"/>
  <c r="D13" i="22"/>
  <c r="C13" i="22"/>
  <c r="B13" i="22" s="1"/>
  <c r="I12" i="22"/>
  <c r="H12" i="22"/>
  <c r="G12" i="22"/>
  <c r="F12" i="22"/>
  <c r="E12" i="22"/>
  <c r="D12" i="22"/>
  <c r="C12" i="22"/>
  <c r="B12" i="22" s="1"/>
  <c r="I11" i="22"/>
  <c r="H11" i="22"/>
  <c r="G11" i="22"/>
  <c r="F11" i="22"/>
  <c r="E11" i="22"/>
  <c r="D11" i="22"/>
  <c r="C11" i="22"/>
  <c r="B11" i="22" s="1"/>
  <c r="R8" i="22"/>
  <c r="Q8" i="22"/>
  <c r="P8" i="22"/>
  <c r="O8" i="22"/>
  <c r="N8" i="22"/>
  <c r="M8" i="22"/>
  <c r="L8" i="22"/>
  <c r="K8" i="22" s="1"/>
  <c r="R7" i="22"/>
  <c r="Q7" i="22"/>
  <c r="P7" i="22"/>
  <c r="O7" i="22"/>
  <c r="N7" i="22"/>
  <c r="M7" i="22"/>
  <c r="L7" i="22"/>
  <c r="K7" i="22" s="1"/>
  <c r="R6" i="22"/>
  <c r="Q6" i="22"/>
  <c r="P6" i="22"/>
  <c r="O6" i="22"/>
  <c r="N6" i="22"/>
  <c r="M6" i="22"/>
  <c r="L6" i="22"/>
  <c r="K6" i="22" s="1"/>
  <c r="R5" i="22"/>
  <c r="Q5" i="22"/>
  <c r="P5" i="22"/>
  <c r="O5" i="22"/>
  <c r="N5" i="22"/>
  <c r="M5" i="22"/>
  <c r="L5" i="22"/>
  <c r="K5" i="22" s="1"/>
  <c r="R4" i="22"/>
  <c r="Q4" i="22"/>
  <c r="P4" i="22"/>
  <c r="O4" i="22"/>
  <c r="N4" i="22"/>
  <c r="M4" i="22"/>
  <c r="L4" i="22"/>
  <c r="K4" i="22" s="1"/>
  <c r="R3" i="22"/>
  <c r="Q3" i="22"/>
  <c r="P3" i="22"/>
  <c r="O3" i="22"/>
  <c r="N3" i="22"/>
  <c r="M3" i="22"/>
  <c r="L3" i="22"/>
  <c r="K3" i="22" s="1"/>
  <c r="I8" i="22"/>
  <c r="H8" i="22"/>
  <c r="G8" i="22"/>
  <c r="F8" i="22"/>
  <c r="E8" i="22"/>
  <c r="D8" i="22"/>
  <c r="C8" i="22"/>
  <c r="B8" i="22" s="1"/>
  <c r="I7" i="22"/>
  <c r="H7" i="22"/>
  <c r="G7" i="22"/>
  <c r="F7" i="22"/>
  <c r="E7" i="22"/>
  <c r="D7" i="22"/>
  <c r="C7" i="22"/>
  <c r="B7" i="22" s="1"/>
  <c r="I6" i="22"/>
  <c r="H6" i="22"/>
  <c r="G6" i="22"/>
  <c r="F6" i="22"/>
  <c r="E6" i="22"/>
  <c r="D6" i="22"/>
  <c r="C6" i="22"/>
  <c r="B6" i="22" s="1"/>
  <c r="I5" i="22"/>
  <c r="H5" i="22"/>
  <c r="G5" i="22"/>
  <c r="F5" i="22"/>
  <c r="E5" i="22"/>
  <c r="D5" i="22"/>
  <c r="C5" i="22"/>
  <c r="B5" i="22" s="1"/>
  <c r="I4" i="22"/>
  <c r="H4" i="22"/>
  <c r="G4" i="22"/>
  <c r="F4" i="22"/>
  <c r="E4" i="22"/>
  <c r="D4" i="22"/>
  <c r="C4" i="22"/>
  <c r="B4" i="22" s="1"/>
  <c r="I3" i="22"/>
  <c r="H3" i="22"/>
  <c r="G3" i="22"/>
  <c r="F3" i="22"/>
  <c r="E3" i="22"/>
  <c r="D3" i="22"/>
  <c r="C3" i="22"/>
  <c r="B3" i="22" s="1"/>
  <c r="P21" i="22" l="1"/>
  <c r="O21" i="22"/>
  <c r="P19" i="22"/>
  <c r="P22" i="22"/>
  <c r="O22" i="22"/>
  <c r="P20" i="22"/>
  <c r="O20" i="22"/>
  <c r="O19" i="22"/>
  <c r="K10" i="23"/>
  <c r="R10" i="23"/>
  <c r="Q10" i="23"/>
  <c r="B10" i="23"/>
  <c r="M10" i="23"/>
  <c r="L10" i="23"/>
  <c r="P10" i="23"/>
  <c r="O10" i="23"/>
  <c r="N10" i="23" s="1"/>
  <c r="A37" i="3"/>
  <c r="C39" i="3"/>
  <c r="F22" i="22"/>
  <c r="G22" i="22"/>
  <c r="A11" i="23"/>
  <c r="B37" i="3"/>
  <c r="B36" i="3"/>
  <c r="B35" i="3"/>
  <c r="J34" i="20"/>
  <c r="K33" i="20" s="1"/>
  <c r="J35" i="20"/>
  <c r="I42" i="20"/>
  <c r="G42" i="20"/>
  <c r="J40" i="20"/>
  <c r="K40" i="20" s="1"/>
  <c r="J41" i="20"/>
  <c r="K41" i="20" s="1"/>
  <c r="J39" i="20"/>
  <c r="K39" i="20" s="1"/>
  <c r="J37" i="20"/>
  <c r="J38" i="20"/>
  <c r="J36" i="20"/>
  <c r="K36" i="20" s="1"/>
  <c r="J33" i="20"/>
  <c r="J29" i="20"/>
  <c r="J30" i="20"/>
  <c r="J31" i="20"/>
  <c r="J32" i="20"/>
  <c r="J25" i="20"/>
  <c r="J26" i="20"/>
  <c r="J27" i="20"/>
  <c r="J28" i="20"/>
  <c r="J21" i="20"/>
  <c r="J22" i="20"/>
  <c r="J23" i="20"/>
  <c r="J24" i="20"/>
  <c r="J20" i="20"/>
  <c r="J17" i="20"/>
  <c r="J18" i="20"/>
  <c r="J19" i="20"/>
  <c r="J16" i="20"/>
  <c r="J15" i="20"/>
  <c r="J14" i="20"/>
  <c r="J13" i="20"/>
  <c r="J11" i="20"/>
  <c r="J12" i="20"/>
  <c r="J10" i="20"/>
  <c r="J4" i="20"/>
  <c r="J5" i="20"/>
  <c r="J6" i="20"/>
  <c r="J7" i="20"/>
  <c r="J8" i="20"/>
  <c r="J9" i="20"/>
  <c r="J3" i="20"/>
  <c r="V22" i="19"/>
  <c r="C40" i="3" l="1"/>
  <c r="F23" i="22"/>
  <c r="G23" i="22"/>
  <c r="P23" i="22"/>
  <c r="G41" i="22"/>
  <c r="F38" i="22"/>
  <c r="F40" i="22"/>
  <c r="F36" i="22"/>
  <c r="G38" i="22"/>
  <c r="F37" i="22"/>
  <c r="G36" i="22"/>
  <c r="G40" i="22"/>
  <c r="F39" i="22"/>
  <c r="G39" i="22"/>
  <c r="G37" i="22"/>
  <c r="F41" i="22"/>
  <c r="A38" i="3"/>
  <c r="O23" i="22"/>
  <c r="Q11" i="23"/>
  <c r="B11" i="23"/>
  <c r="K11" i="23"/>
  <c r="O11" i="23"/>
  <c r="N11" i="23" s="1"/>
  <c r="L11" i="23"/>
  <c r="P11" i="23"/>
  <c r="R11" i="23"/>
  <c r="M11" i="23"/>
  <c r="A12" i="23"/>
  <c r="K37" i="22"/>
  <c r="K38" i="22"/>
  <c r="K39" i="22"/>
  <c r="K40" i="22"/>
  <c r="K41" i="22"/>
  <c r="L37" i="22"/>
  <c r="L39" i="22"/>
  <c r="L40" i="22"/>
  <c r="L41" i="22"/>
  <c r="N36" i="22"/>
  <c r="M38" i="22"/>
  <c r="M40" i="22"/>
  <c r="C37" i="22"/>
  <c r="C38" i="22"/>
  <c r="C39" i="22"/>
  <c r="C40" i="22"/>
  <c r="C41" i="22"/>
  <c r="E36" i="22"/>
  <c r="N38" i="22"/>
  <c r="N40" i="22"/>
  <c r="M36" i="22"/>
  <c r="D37" i="22"/>
  <c r="D38" i="22"/>
  <c r="D39" i="22"/>
  <c r="D40" i="22"/>
  <c r="D41" i="22"/>
  <c r="D36" i="22"/>
  <c r="L20" i="22"/>
  <c r="M39" i="22"/>
  <c r="E38" i="22"/>
  <c r="E40" i="22"/>
  <c r="K20" i="22"/>
  <c r="L21" i="22"/>
  <c r="L22" i="22"/>
  <c r="L23" i="22"/>
  <c r="L24" i="22"/>
  <c r="N19" i="22"/>
  <c r="M21" i="22"/>
  <c r="M23" i="22"/>
  <c r="N39" i="22"/>
  <c r="B37" i="22"/>
  <c r="B39" i="22"/>
  <c r="B41" i="22"/>
  <c r="M20" i="22"/>
  <c r="M22" i="22"/>
  <c r="M24" i="22"/>
  <c r="M19" i="22"/>
  <c r="N41" i="22"/>
  <c r="K36" i="22"/>
  <c r="B40" i="22"/>
  <c r="K22" i="22"/>
  <c r="K24" i="22"/>
  <c r="N22" i="22"/>
  <c r="L19" i="22"/>
  <c r="K21" i="22"/>
  <c r="M41" i="22"/>
  <c r="L36" i="22"/>
  <c r="E39" i="22"/>
  <c r="N21" i="22"/>
  <c r="M37" i="22"/>
  <c r="E37" i="22"/>
  <c r="E41" i="22"/>
  <c r="C36" i="22"/>
  <c r="N20" i="22"/>
  <c r="N24" i="22"/>
  <c r="N37" i="22"/>
  <c r="B38" i="22"/>
  <c r="B36" i="22"/>
  <c r="K23" i="22"/>
  <c r="K19" i="22"/>
  <c r="N23" i="22"/>
  <c r="C20" i="22"/>
  <c r="C21" i="22"/>
  <c r="C22" i="22"/>
  <c r="C23" i="22"/>
  <c r="C24" i="22"/>
  <c r="E19" i="22"/>
  <c r="E20" i="22"/>
  <c r="E22" i="22"/>
  <c r="E24" i="22"/>
  <c r="C19" i="22"/>
  <c r="B20" i="22"/>
  <c r="B22" i="22"/>
  <c r="B24" i="22"/>
  <c r="D20" i="22"/>
  <c r="D21" i="22"/>
  <c r="D22" i="22"/>
  <c r="D23" i="22"/>
  <c r="D24" i="22"/>
  <c r="D19" i="22"/>
  <c r="E21" i="22"/>
  <c r="E23" i="22"/>
  <c r="B21" i="22"/>
  <c r="B23" i="22"/>
  <c r="B19" i="22"/>
  <c r="K37" i="20"/>
  <c r="K25" i="20"/>
  <c r="K29" i="20"/>
  <c r="K21" i="20"/>
  <c r="K17" i="20"/>
  <c r="K13" i="20"/>
  <c r="K10" i="20"/>
  <c r="K3" i="20"/>
  <c r="K7" i="20"/>
  <c r="K5" i="20"/>
  <c r="R12" i="23" l="1"/>
  <c r="L12" i="23"/>
  <c r="K12" i="23"/>
  <c r="M12" i="23"/>
  <c r="P12" i="23"/>
  <c r="B12" i="23"/>
  <c r="Q12" i="23"/>
  <c r="O12" i="23"/>
  <c r="N12" i="23" s="1"/>
  <c r="A39" i="3"/>
  <c r="O37" i="22"/>
  <c r="P36" i="22"/>
  <c r="O39" i="22"/>
  <c r="O41" i="22"/>
  <c r="P39" i="22"/>
  <c r="O38" i="22"/>
  <c r="P38" i="22"/>
  <c r="P37" i="22"/>
  <c r="P40" i="22"/>
  <c r="P41" i="22"/>
  <c r="O40" i="22"/>
  <c r="O36" i="22"/>
  <c r="L38" i="22"/>
  <c r="B38" i="3"/>
  <c r="C41" i="3"/>
  <c r="P42" i="22" s="1"/>
  <c r="G24" i="22"/>
  <c r="F24" i="22"/>
  <c r="O24" i="22"/>
  <c r="P24" i="22"/>
  <c r="A13" i="23"/>
  <c r="K42" i="20"/>
  <c r="H42" i="20" s="1"/>
  <c r="O42" i="22" l="1"/>
  <c r="M13" i="23"/>
  <c r="G13" i="23"/>
  <c r="B13" i="23"/>
  <c r="K13" i="23"/>
  <c r="Q13" i="23"/>
  <c r="C13" i="23"/>
  <c r="O13" i="23"/>
  <c r="N13" i="23" s="1"/>
  <c r="L13" i="23"/>
  <c r="I13" i="23"/>
  <c r="F13" i="23"/>
  <c r="E13" i="23" s="1"/>
  <c r="P13" i="23"/>
  <c r="R13" i="23"/>
  <c r="D13" i="23"/>
  <c r="H13" i="23"/>
  <c r="C42" i="3"/>
  <c r="F25" i="22"/>
  <c r="G25" i="22"/>
  <c r="P25" i="22"/>
  <c r="O25" i="22"/>
  <c r="G42" i="22"/>
  <c r="K42" i="22"/>
  <c r="L42" i="22"/>
  <c r="F42" i="22"/>
  <c r="M42" i="22"/>
  <c r="C42" i="22"/>
  <c r="N42" i="22"/>
  <c r="N25" i="22"/>
  <c r="C25" i="22"/>
  <c r="E25" i="22"/>
  <c r="B25" i="22"/>
  <c r="D42" i="22"/>
  <c r="E42" i="22"/>
  <c r="L25" i="22"/>
  <c r="M25" i="22"/>
  <c r="B42" i="22"/>
  <c r="D25" i="22"/>
  <c r="K25" i="22"/>
  <c r="A40" i="3"/>
  <c r="Y23" i="22"/>
  <c r="Y21" i="22"/>
  <c r="X24" i="22"/>
  <c r="Y20" i="22"/>
  <c r="X22" i="22"/>
  <c r="X25" i="22"/>
  <c r="X20" i="22"/>
  <c r="Y22" i="22"/>
  <c r="Y24" i="22"/>
  <c r="Y19" i="22"/>
  <c r="X21" i="22"/>
  <c r="X23" i="22"/>
  <c r="Y26" i="22"/>
  <c r="X19" i="22"/>
  <c r="X26" i="22"/>
  <c r="Y25" i="22"/>
  <c r="B39" i="3"/>
  <c r="V20" i="22"/>
  <c r="V24" i="22"/>
  <c r="V19" i="22"/>
  <c r="T20" i="22"/>
  <c r="U25" i="22"/>
  <c r="U23" i="22"/>
  <c r="T26" i="22"/>
  <c r="W20" i="22"/>
  <c r="V21" i="22"/>
  <c r="V25" i="22"/>
  <c r="U21" i="22"/>
  <c r="W26" i="22"/>
  <c r="U20" i="22"/>
  <c r="W21" i="22"/>
  <c r="T21" i="22"/>
  <c r="V22" i="22"/>
  <c r="V26" i="22"/>
  <c r="W22" i="22"/>
  <c r="T23" i="22"/>
  <c r="U24" i="22"/>
  <c r="W23" i="22"/>
  <c r="T22" i="22"/>
  <c r="T25" i="22"/>
  <c r="U19" i="22"/>
  <c r="U26" i="22"/>
  <c r="T19" i="22"/>
  <c r="U22" i="22"/>
  <c r="W24" i="22"/>
  <c r="V23" i="22"/>
  <c r="T24" i="22"/>
  <c r="W25" i="22"/>
  <c r="W19" i="22"/>
  <c r="A14" i="23"/>
  <c r="F42" i="20"/>
  <c r="C43" i="3" l="1"/>
  <c r="F26" i="22"/>
  <c r="G26" i="22"/>
  <c r="O26" i="22"/>
  <c r="P26" i="22"/>
  <c r="C43" i="22"/>
  <c r="G43" i="22"/>
  <c r="K43" i="22"/>
  <c r="L43" i="22"/>
  <c r="F43" i="22"/>
  <c r="N26" i="22"/>
  <c r="B26" i="22"/>
  <c r="C26" i="22"/>
  <c r="E43" i="22"/>
  <c r="D26" i="22"/>
  <c r="E26" i="22"/>
  <c r="D43" i="22"/>
  <c r="L26" i="22"/>
  <c r="B43" i="22"/>
  <c r="M26" i="22"/>
  <c r="K26" i="22"/>
  <c r="M43" i="22"/>
  <c r="N43" i="22"/>
  <c r="O43" i="22"/>
  <c r="P43" i="22"/>
  <c r="Q14" i="23"/>
  <c r="O14" i="23"/>
  <c r="N14" i="23" s="1"/>
  <c r="K14" i="23"/>
  <c r="R14" i="23"/>
  <c r="L14" i="23"/>
  <c r="B14" i="23"/>
  <c r="M14" i="23"/>
  <c r="P14" i="23"/>
  <c r="A41" i="3"/>
  <c r="AH24" i="22"/>
  <c r="AH21" i="22"/>
  <c r="AH26" i="22"/>
  <c r="AG25" i="22"/>
  <c r="AG26" i="22"/>
  <c r="AG20" i="22"/>
  <c r="AG23" i="22"/>
  <c r="AH27" i="22"/>
  <c r="AH20" i="22"/>
  <c r="AG19" i="22"/>
  <c r="AH23" i="22"/>
  <c r="AH19" i="22"/>
  <c r="AG22" i="22"/>
  <c r="AG21" i="22"/>
  <c r="AC22" i="22"/>
  <c r="AH25" i="22"/>
  <c r="AG24" i="22"/>
  <c r="AH22" i="22"/>
  <c r="AG27" i="22"/>
  <c r="B40" i="3"/>
  <c r="AF21" i="22"/>
  <c r="AF25" i="22"/>
  <c r="AC20" i="22"/>
  <c r="AD25" i="22"/>
  <c r="AD20" i="22"/>
  <c r="AE25" i="22"/>
  <c r="AF19" i="22"/>
  <c r="AC25" i="22"/>
  <c r="AE23" i="22"/>
  <c r="AD23" i="22"/>
  <c r="AD26" i="22"/>
  <c r="AF22" i="22"/>
  <c r="AF26" i="22"/>
  <c r="AD21" i="22"/>
  <c r="AE26" i="22"/>
  <c r="AE21" i="22"/>
  <c r="AC27" i="22"/>
  <c r="AE27" i="22"/>
  <c r="AE24" i="22"/>
  <c r="AC26" i="22"/>
  <c r="AE19" i="22"/>
  <c r="AC19" i="22"/>
  <c r="AD27" i="22"/>
  <c r="AF23" i="22"/>
  <c r="AF27" i="22"/>
  <c r="AE22" i="22"/>
  <c r="AC23" i="22"/>
  <c r="AC21" i="22"/>
  <c r="AD22" i="22"/>
  <c r="AE20" i="22"/>
  <c r="AF20" i="22"/>
  <c r="AF24" i="22"/>
  <c r="AD19" i="22"/>
  <c r="AC24" i="22"/>
  <c r="AD24" i="22"/>
  <c r="A15" i="23"/>
  <c r="B4" i="3"/>
  <c r="B16" i="3"/>
  <c r="B14" i="3"/>
  <c r="B13" i="3"/>
  <c r="B12" i="3"/>
  <c r="B8" i="3"/>
  <c r="B7" i="3"/>
  <c r="B5" i="3"/>
  <c r="B10" i="3" s="1"/>
  <c r="B15" i="3"/>
  <c r="A42" i="3" l="1"/>
  <c r="X42" i="22"/>
  <c r="X36" i="22"/>
  <c r="Y40" i="22"/>
  <c r="X39" i="22"/>
  <c r="X44" i="22"/>
  <c r="Y42" i="22"/>
  <c r="X41" i="22"/>
  <c r="Y37" i="22"/>
  <c r="X38" i="22"/>
  <c r="Y41" i="22"/>
  <c r="Y44" i="22"/>
  <c r="X43" i="22"/>
  <c r="Y43" i="22"/>
  <c r="Y38" i="22"/>
  <c r="Y36" i="22"/>
  <c r="X40" i="22"/>
  <c r="X37" i="22"/>
  <c r="Y39" i="22"/>
  <c r="B41" i="3"/>
  <c r="U37" i="22"/>
  <c r="U41" i="22"/>
  <c r="W36" i="22"/>
  <c r="V38" i="22"/>
  <c r="V42" i="22"/>
  <c r="W42" i="22"/>
  <c r="T41" i="22"/>
  <c r="U36" i="22"/>
  <c r="W41" i="22"/>
  <c r="T36" i="22"/>
  <c r="U38" i="22"/>
  <c r="U42" i="22"/>
  <c r="V39" i="22"/>
  <c r="V43" i="22"/>
  <c r="W44" i="22"/>
  <c r="T43" i="22"/>
  <c r="U39" i="22"/>
  <c r="U43" i="22"/>
  <c r="V40" i="22"/>
  <c r="V44" i="22"/>
  <c r="W38" i="22"/>
  <c r="T37" i="22"/>
  <c r="U40" i="22"/>
  <c r="U44" i="22"/>
  <c r="V37" i="22"/>
  <c r="V41" i="22"/>
  <c r="W40" i="22"/>
  <c r="V36" i="22"/>
  <c r="T39" i="22"/>
  <c r="W37" i="22"/>
  <c r="W43" i="22"/>
  <c r="T44" i="22"/>
  <c r="T40" i="22"/>
  <c r="T38" i="22"/>
  <c r="T42" i="22"/>
  <c r="W39" i="22"/>
  <c r="P15" i="23"/>
  <c r="R15" i="23"/>
  <c r="M15" i="23"/>
  <c r="K15" i="23"/>
  <c r="Q15" i="23"/>
  <c r="B15" i="23"/>
  <c r="O15" i="23"/>
  <c r="N15" i="23" s="1"/>
  <c r="L15" i="23"/>
  <c r="C44" i="3"/>
  <c r="W45" i="22" s="1"/>
  <c r="G27" i="22"/>
  <c r="F27" i="22"/>
  <c r="O27" i="22"/>
  <c r="P27" i="22"/>
  <c r="F44" i="22"/>
  <c r="M44" i="22"/>
  <c r="G44" i="22"/>
  <c r="C44" i="22"/>
  <c r="K44" i="22"/>
  <c r="L44" i="22"/>
  <c r="K27" i="22"/>
  <c r="N27" i="22"/>
  <c r="D27" i="22"/>
  <c r="E27" i="22"/>
  <c r="B27" i="22"/>
  <c r="N44" i="22"/>
  <c r="E44" i="22"/>
  <c r="C27" i="22"/>
  <c r="B44" i="22"/>
  <c r="D44" i="22"/>
  <c r="L27" i="22"/>
  <c r="M27" i="22"/>
  <c r="O44" i="22"/>
  <c r="P44" i="22"/>
  <c r="Y27" i="22"/>
  <c r="W27" i="22"/>
  <c r="V27" i="22"/>
  <c r="T27" i="22"/>
  <c r="X27" i="22"/>
  <c r="U27" i="22"/>
  <c r="A16" i="23"/>
  <c r="B6" i="3"/>
  <c r="B9" i="3"/>
  <c r="B11" i="3"/>
  <c r="U45" i="22" l="1"/>
  <c r="X45" i="22"/>
  <c r="Y45" i="22"/>
  <c r="Q16" i="23"/>
  <c r="L16" i="23"/>
  <c r="B16" i="23"/>
  <c r="K16" i="23"/>
  <c r="P16" i="23"/>
  <c r="O16" i="23"/>
  <c r="N16" i="23" s="1"/>
  <c r="R16" i="23"/>
  <c r="M16" i="23"/>
  <c r="V45" i="22"/>
  <c r="C45" i="3"/>
  <c r="F28" i="22"/>
  <c r="G28" i="22"/>
  <c r="P28" i="22"/>
  <c r="O28" i="22"/>
  <c r="F45" i="22"/>
  <c r="K45" i="22"/>
  <c r="L45" i="22"/>
  <c r="G45" i="22"/>
  <c r="C45" i="22"/>
  <c r="D45" i="22"/>
  <c r="L28" i="22"/>
  <c r="M45" i="22"/>
  <c r="E45" i="22"/>
  <c r="E28" i="22"/>
  <c r="B28" i="22"/>
  <c r="D28" i="22"/>
  <c r="C28" i="22"/>
  <c r="N45" i="22"/>
  <c r="N28" i="22"/>
  <c r="K28" i="22"/>
  <c r="B45" i="22"/>
  <c r="M28" i="22"/>
  <c r="O45" i="22"/>
  <c r="P45" i="22"/>
  <c r="V28" i="22"/>
  <c r="U28" i="22"/>
  <c r="T28" i="22"/>
  <c r="Y28" i="22"/>
  <c r="X28" i="22"/>
  <c r="W28" i="22"/>
  <c r="AH28" i="22"/>
  <c r="AF28" i="22"/>
  <c r="AD28" i="22"/>
  <c r="AG28" i="22"/>
  <c r="AC28" i="22"/>
  <c r="AE28" i="22"/>
  <c r="T45" i="22"/>
  <c r="A43" i="3"/>
  <c r="AG43" i="22"/>
  <c r="AH44" i="22"/>
  <c r="AH41" i="22"/>
  <c r="AH38" i="22"/>
  <c r="AG40" i="22"/>
  <c r="AG37" i="22"/>
  <c r="AG45" i="22"/>
  <c r="AH36" i="22"/>
  <c r="AH43" i="22"/>
  <c r="AH46" i="22"/>
  <c r="AG42" i="22"/>
  <c r="AG39" i="22"/>
  <c r="AH37" i="22"/>
  <c r="AH45" i="22"/>
  <c r="AG36" i="22"/>
  <c r="AG44" i="22"/>
  <c r="AG41" i="22"/>
  <c r="AH40" i="22"/>
  <c r="AG38" i="22"/>
  <c r="AH42" i="22"/>
  <c r="AG46" i="22"/>
  <c r="AH39" i="22"/>
  <c r="B42" i="3"/>
  <c r="AE37" i="22"/>
  <c r="AD38" i="22"/>
  <c r="AE42" i="22"/>
  <c r="AE46" i="22"/>
  <c r="AF39" i="22"/>
  <c r="AF43" i="22"/>
  <c r="AC44" i="22"/>
  <c r="AD42" i="22"/>
  <c r="AC43" i="22"/>
  <c r="AE38" i="22"/>
  <c r="AE39" i="22"/>
  <c r="AE43" i="22"/>
  <c r="AF40" i="22"/>
  <c r="AF44" i="22"/>
  <c r="AF37" i="22"/>
  <c r="AC46" i="22"/>
  <c r="AC36" i="22"/>
  <c r="AD44" i="22"/>
  <c r="AE40" i="22"/>
  <c r="AE44" i="22"/>
  <c r="AD37" i="22"/>
  <c r="AF41" i="22"/>
  <c r="AF45" i="22"/>
  <c r="AD36" i="22"/>
  <c r="AC40" i="22"/>
  <c r="AC38" i="22"/>
  <c r="AD46" i="22"/>
  <c r="AC37" i="22"/>
  <c r="AE41" i="22"/>
  <c r="AE45" i="22"/>
  <c r="AE36" i="22"/>
  <c r="AF38" i="22"/>
  <c r="AF42" i="22"/>
  <c r="AF46" i="22"/>
  <c r="AC42" i="22"/>
  <c r="AD40" i="22"/>
  <c r="AC39" i="22"/>
  <c r="AD41" i="22"/>
  <c r="AD39" i="22"/>
  <c r="AC41" i="22"/>
  <c r="AD43" i="22"/>
  <c r="AD45" i="22"/>
  <c r="AC45" i="22"/>
  <c r="AF36" i="22"/>
  <c r="A17" i="23"/>
  <c r="W19" i="19"/>
  <c r="X19" i="19" s="1"/>
  <c r="A44" i="3" l="1"/>
  <c r="AQ20" i="22"/>
  <c r="AQ29" i="22"/>
  <c r="AQ26" i="22"/>
  <c r="AP22" i="22"/>
  <c r="AP24" i="22"/>
  <c r="AP27" i="22"/>
  <c r="AQ19" i="22"/>
  <c r="AP25" i="22"/>
  <c r="AP21" i="22"/>
  <c r="AQ24" i="22"/>
  <c r="AP19" i="22"/>
  <c r="AP20" i="22"/>
  <c r="AQ25" i="22"/>
  <c r="AQ22" i="22"/>
  <c r="AQ27" i="22"/>
  <c r="AP26" i="22"/>
  <c r="AP29" i="22"/>
  <c r="AQ28" i="22"/>
  <c r="AQ21" i="22"/>
  <c r="AQ23" i="22"/>
  <c r="AP28" i="22"/>
  <c r="AP23" i="22"/>
  <c r="B43" i="3"/>
  <c r="AO20" i="22"/>
  <c r="AO24" i="22"/>
  <c r="AO28" i="22"/>
  <c r="AO21" i="22"/>
  <c r="AO25" i="22"/>
  <c r="AO29" i="22"/>
  <c r="AO23" i="22"/>
  <c r="AO27" i="22"/>
  <c r="AO22" i="22"/>
  <c r="AL22" i="22"/>
  <c r="AL26" i="22"/>
  <c r="AM21" i="22"/>
  <c r="AM29" i="22"/>
  <c r="AN21" i="22"/>
  <c r="AN29" i="22"/>
  <c r="AN28" i="22"/>
  <c r="AO19" i="22"/>
  <c r="AM26" i="22"/>
  <c r="AN26" i="22"/>
  <c r="AO26" i="22"/>
  <c r="AL23" i="22"/>
  <c r="AL27" i="22"/>
  <c r="AM23" i="22"/>
  <c r="AN23" i="22"/>
  <c r="AO30" i="22"/>
  <c r="AM19" i="22"/>
  <c r="AL20" i="22"/>
  <c r="AL24" i="22"/>
  <c r="AL28" i="22"/>
  <c r="AL19" i="22"/>
  <c r="AM25" i="22"/>
  <c r="AN25" i="22"/>
  <c r="AN20" i="22"/>
  <c r="AN19" i="22"/>
  <c r="AN22" i="22"/>
  <c r="AM20" i="22"/>
  <c r="AN24" i="22"/>
  <c r="AM22" i="22"/>
  <c r="AL21" i="22"/>
  <c r="AL25" i="22"/>
  <c r="AL29" i="22"/>
  <c r="AM27" i="22"/>
  <c r="AN27" i="22"/>
  <c r="AM28" i="22"/>
  <c r="AM24" i="22"/>
  <c r="B17" i="23"/>
  <c r="M17" i="23"/>
  <c r="L17" i="23"/>
  <c r="P17" i="23"/>
  <c r="K17" i="23"/>
  <c r="O17" i="23"/>
  <c r="N17" i="23" s="1"/>
  <c r="R17" i="23"/>
  <c r="Q17" i="23"/>
  <c r="C46" i="3"/>
  <c r="AN30" i="22" s="1"/>
  <c r="F29" i="22"/>
  <c r="G29" i="22"/>
  <c r="O29" i="22"/>
  <c r="P29" i="22"/>
  <c r="F46" i="22"/>
  <c r="G46" i="22"/>
  <c r="K46" i="22"/>
  <c r="L46" i="22"/>
  <c r="M46" i="22"/>
  <c r="C46" i="22"/>
  <c r="M29" i="22"/>
  <c r="B46" i="22"/>
  <c r="C29" i="22"/>
  <c r="D46" i="22"/>
  <c r="L29" i="22"/>
  <c r="N29" i="22"/>
  <c r="N46" i="22"/>
  <c r="K29" i="22"/>
  <c r="D29" i="22"/>
  <c r="E29" i="22"/>
  <c r="B29" i="22"/>
  <c r="E46" i="22"/>
  <c r="P46" i="22"/>
  <c r="O46" i="22"/>
  <c r="T29" i="22"/>
  <c r="X29" i="22"/>
  <c r="U29" i="22"/>
  <c r="Y29" i="22"/>
  <c r="W29" i="22"/>
  <c r="V29" i="22"/>
  <c r="AH29" i="22"/>
  <c r="AF29" i="22"/>
  <c r="AC29" i="22"/>
  <c r="AD29" i="22"/>
  <c r="AG29" i="22"/>
  <c r="AE29" i="22"/>
  <c r="Y46" i="22"/>
  <c r="U46" i="22"/>
  <c r="W46" i="22"/>
  <c r="X46" i="22"/>
  <c r="T46" i="22"/>
  <c r="V46" i="22"/>
  <c r="A18" i="23"/>
  <c r="W7" i="19"/>
  <c r="X7" i="19" s="1"/>
  <c r="W20" i="19"/>
  <c r="X20" i="19" s="1"/>
  <c r="G204" i="2"/>
  <c r="AP30" i="22" l="1"/>
  <c r="AQ30" i="22"/>
  <c r="AL30" i="22"/>
  <c r="B18" i="23"/>
  <c r="Q18" i="23"/>
  <c r="L18" i="23"/>
  <c r="K18" i="23"/>
  <c r="P18" i="23"/>
  <c r="O18" i="23"/>
  <c r="N18" i="23" s="1"/>
  <c r="R18" i="23"/>
  <c r="M18" i="23"/>
  <c r="C47" i="3"/>
  <c r="F30" i="22"/>
  <c r="G30" i="22"/>
  <c r="O30" i="22"/>
  <c r="P30" i="22"/>
  <c r="F47" i="22"/>
  <c r="C47" i="22"/>
  <c r="G47" i="22"/>
  <c r="L47" i="22"/>
  <c r="N47" i="22"/>
  <c r="K47" i="22"/>
  <c r="M47" i="22"/>
  <c r="B47" i="22"/>
  <c r="M30" i="22"/>
  <c r="K30" i="22"/>
  <c r="C30" i="22"/>
  <c r="E30" i="22"/>
  <c r="N30" i="22"/>
  <c r="D47" i="22"/>
  <c r="L30" i="22"/>
  <c r="B30" i="22"/>
  <c r="E47" i="22"/>
  <c r="D30" i="22"/>
  <c r="O47" i="22"/>
  <c r="P47" i="22"/>
  <c r="T30" i="22"/>
  <c r="X30" i="22"/>
  <c r="W30" i="22"/>
  <c r="Y30" i="22"/>
  <c r="U30" i="22"/>
  <c r="V30" i="22"/>
  <c r="AE30" i="22"/>
  <c r="AD30" i="22"/>
  <c r="AG30" i="22"/>
  <c r="AC30" i="22"/>
  <c r="AH30" i="22"/>
  <c r="AF30" i="22"/>
  <c r="X47" i="22"/>
  <c r="U47" i="22"/>
  <c r="V47" i="22"/>
  <c r="T47" i="22"/>
  <c r="W47" i="22"/>
  <c r="Y47" i="22"/>
  <c r="AH47" i="22"/>
  <c r="AF47" i="22"/>
  <c r="AG47" i="22"/>
  <c r="AC47" i="22"/>
  <c r="AD47" i="22"/>
  <c r="AE47" i="22"/>
  <c r="AM30" i="22"/>
  <c r="A45" i="3"/>
  <c r="AY26" i="22"/>
  <c r="AY20" i="22"/>
  <c r="AY28" i="22"/>
  <c r="AY22" i="22"/>
  <c r="AY30" i="22"/>
  <c r="AZ20" i="22"/>
  <c r="AZ28" i="22"/>
  <c r="AY19" i="22"/>
  <c r="AY27" i="22"/>
  <c r="AZ19" i="22"/>
  <c r="AZ31" i="22"/>
  <c r="AZ26" i="22"/>
  <c r="AZ29" i="22"/>
  <c r="AY25" i="22"/>
  <c r="AY24" i="22"/>
  <c r="AZ30" i="22"/>
  <c r="AY29" i="22"/>
  <c r="AZ22" i="22"/>
  <c r="AY21" i="22"/>
  <c r="AZ21" i="22"/>
  <c r="AZ25" i="22"/>
  <c r="AZ24" i="22"/>
  <c r="AZ23" i="22"/>
  <c r="AY23" i="22"/>
  <c r="AZ27" i="22"/>
  <c r="AY31" i="22"/>
  <c r="B44" i="3"/>
  <c r="AU21" i="22"/>
  <c r="AU25" i="22"/>
  <c r="AU29" i="22"/>
  <c r="AU22" i="22"/>
  <c r="AU26" i="22"/>
  <c r="AU30" i="22"/>
  <c r="AU23" i="22"/>
  <c r="AU20" i="22"/>
  <c r="AU24" i="22"/>
  <c r="AU28" i="22"/>
  <c r="AU19" i="22"/>
  <c r="AV23" i="22"/>
  <c r="AV27" i="22"/>
  <c r="AV31" i="22"/>
  <c r="AW22" i="22"/>
  <c r="AW30" i="22"/>
  <c r="AX22" i="22"/>
  <c r="AX30" i="22"/>
  <c r="AX29" i="22"/>
  <c r="AX23" i="22"/>
  <c r="AW21" i="22"/>
  <c r="AW27" i="22"/>
  <c r="AU27" i="22"/>
  <c r="AV20" i="22"/>
  <c r="AV24" i="22"/>
  <c r="AV28" i="22"/>
  <c r="AX19" i="22"/>
  <c r="AW24" i="22"/>
  <c r="AX24" i="22"/>
  <c r="AX31" i="22"/>
  <c r="AW29" i="22"/>
  <c r="AW31" i="22"/>
  <c r="AW25" i="22"/>
  <c r="AU31" i="22"/>
  <c r="AV21" i="22"/>
  <c r="AV25" i="22"/>
  <c r="AV29" i="22"/>
  <c r="AW26" i="22"/>
  <c r="AX26" i="22"/>
  <c r="AX21" i="22"/>
  <c r="AX27" i="22"/>
  <c r="AX25" i="22"/>
  <c r="AW23" i="22"/>
  <c r="AV22" i="22"/>
  <c r="AV26" i="22"/>
  <c r="AV30" i="22"/>
  <c r="AW20" i="22"/>
  <c r="AW28" i="22"/>
  <c r="AW19" i="22"/>
  <c r="AX20" i="22"/>
  <c r="AX28" i="22"/>
  <c r="AV19" i="22"/>
  <c r="A19" i="23"/>
  <c r="W22" i="19"/>
  <c r="X22" i="19"/>
  <c r="C48" i="3" l="1"/>
  <c r="F31" i="22"/>
  <c r="G31" i="22"/>
  <c r="O31" i="22"/>
  <c r="P31" i="22"/>
  <c r="C48" i="22"/>
  <c r="F48" i="22"/>
  <c r="G48" i="22"/>
  <c r="L48" i="22"/>
  <c r="E48" i="22"/>
  <c r="N48" i="22"/>
  <c r="B48" i="22"/>
  <c r="D31" i="22"/>
  <c r="N31" i="22"/>
  <c r="M31" i="22"/>
  <c r="K31" i="22"/>
  <c r="M48" i="22"/>
  <c r="C31" i="22"/>
  <c r="E31" i="22"/>
  <c r="K48" i="22"/>
  <c r="D48" i="22"/>
  <c r="L31" i="22"/>
  <c r="B31" i="22"/>
  <c r="P48" i="22"/>
  <c r="O48" i="22"/>
  <c r="X31" i="22"/>
  <c r="Y31" i="22"/>
  <c r="T31" i="22"/>
  <c r="W31" i="22"/>
  <c r="U31" i="22"/>
  <c r="V31" i="22"/>
  <c r="AG31" i="22"/>
  <c r="AF31" i="22"/>
  <c r="AD31" i="22"/>
  <c r="AH31" i="22"/>
  <c r="AE31" i="22"/>
  <c r="AC31" i="22"/>
  <c r="X48" i="22"/>
  <c r="Y48" i="22"/>
  <c r="U48" i="22"/>
  <c r="W48" i="22"/>
  <c r="V48" i="22"/>
  <c r="T48" i="22"/>
  <c r="AD48" i="22"/>
  <c r="AE48" i="22"/>
  <c r="AC48" i="22"/>
  <c r="AG48" i="22"/>
  <c r="AH48" i="22"/>
  <c r="AF48" i="22"/>
  <c r="AM31" i="22"/>
  <c r="AQ31" i="22"/>
  <c r="AO31" i="22"/>
  <c r="AL31" i="22"/>
  <c r="AP31" i="22"/>
  <c r="AN31" i="22"/>
  <c r="A46" i="3"/>
  <c r="AP43" i="22"/>
  <c r="AQ42" i="22"/>
  <c r="AP41" i="22"/>
  <c r="AP49" i="22"/>
  <c r="AQ37" i="22"/>
  <c r="AQ47" i="22"/>
  <c r="AP38" i="22"/>
  <c r="AP46" i="22"/>
  <c r="AQ43" i="22"/>
  <c r="AP44" i="22"/>
  <c r="AQ39" i="22"/>
  <c r="AP40" i="22"/>
  <c r="AP48" i="22"/>
  <c r="AQ49" i="22"/>
  <c r="AQ38" i="22"/>
  <c r="AQ46" i="22"/>
  <c r="AP37" i="22"/>
  <c r="AP45" i="22"/>
  <c r="AQ36" i="22"/>
  <c r="AQ41" i="22"/>
  <c r="AP36" i="22"/>
  <c r="AQ40" i="22"/>
  <c r="AP42" i="22"/>
  <c r="AP39" i="22"/>
  <c r="AQ48" i="22"/>
  <c r="AQ45" i="22"/>
  <c r="AP47" i="22"/>
  <c r="AQ44" i="22"/>
  <c r="B45" i="3"/>
  <c r="AM37" i="22"/>
  <c r="AM41" i="22"/>
  <c r="AM45" i="22"/>
  <c r="AM49" i="22"/>
  <c r="AO36" i="22"/>
  <c r="AN39" i="22"/>
  <c r="AN44" i="22"/>
  <c r="AN47" i="22"/>
  <c r="AO38" i="22"/>
  <c r="AO42" i="22"/>
  <c r="AO46" i="22"/>
  <c r="AL46" i="22"/>
  <c r="AL48" i="22"/>
  <c r="AL41" i="22"/>
  <c r="AM38" i="22"/>
  <c r="AM42" i="22"/>
  <c r="AM46" i="22"/>
  <c r="AN40" i="22"/>
  <c r="AN43" i="22"/>
  <c r="AN48" i="22"/>
  <c r="AO39" i="22"/>
  <c r="AO44" i="22"/>
  <c r="AO47" i="22"/>
  <c r="AL39" i="22"/>
  <c r="AL36" i="22"/>
  <c r="AL49" i="22"/>
  <c r="AM39" i="22"/>
  <c r="AM44" i="22"/>
  <c r="AM47" i="22"/>
  <c r="AN37" i="22"/>
  <c r="AN41" i="22"/>
  <c r="AN45" i="22"/>
  <c r="AN49" i="22"/>
  <c r="AO40" i="22"/>
  <c r="AO43" i="22"/>
  <c r="AO48" i="22"/>
  <c r="AL38" i="22"/>
  <c r="AN36" i="22"/>
  <c r="AL44" i="22"/>
  <c r="AL43" i="22"/>
  <c r="AM40" i="22"/>
  <c r="AM43" i="22"/>
  <c r="AM48" i="22"/>
  <c r="AN38" i="22"/>
  <c r="AN42" i="22"/>
  <c r="AN46" i="22"/>
  <c r="AO37" i="22"/>
  <c r="AO41" i="22"/>
  <c r="AO45" i="22"/>
  <c r="AO49" i="22"/>
  <c r="AM36" i="22"/>
  <c r="AL42" i="22"/>
  <c r="AL47" i="22"/>
  <c r="AL40" i="22"/>
  <c r="AL45" i="22"/>
  <c r="AL37" i="22"/>
  <c r="R19" i="23"/>
  <c r="Q19" i="23"/>
  <c r="C19" i="23"/>
  <c r="I19" i="23"/>
  <c r="M19" i="23"/>
  <c r="L19" i="23"/>
  <c r="P19" i="23"/>
  <c r="D19" i="23"/>
  <c r="B19" i="23"/>
  <c r="H19" i="23"/>
  <c r="G19" i="23"/>
  <c r="K19" i="23"/>
  <c r="O19" i="23"/>
  <c r="N19" i="23" s="1"/>
  <c r="F19" i="23"/>
  <c r="E19" i="23" s="1"/>
  <c r="A20" i="23"/>
  <c r="AY37" i="22" l="1"/>
  <c r="AY45" i="22"/>
  <c r="AZ36" i="22"/>
  <c r="AZ43" i="22"/>
  <c r="AY42" i="22"/>
  <c r="AZ38" i="22"/>
  <c r="AZ46" i="22"/>
  <c r="AY39" i="22"/>
  <c r="AY47" i="22"/>
  <c r="AZ37" i="22"/>
  <c r="AZ45" i="22"/>
  <c r="AY36" i="22"/>
  <c r="AY44" i="22"/>
  <c r="AZ40" i="22"/>
  <c r="AZ48" i="22"/>
  <c r="AY41" i="22"/>
  <c r="AY49" i="22"/>
  <c r="AZ39" i="22"/>
  <c r="AZ47" i="22"/>
  <c r="AY38" i="22"/>
  <c r="AY46" i="22"/>
  <c r="AZ42" i="22"/>
  <c r="AY43" i="22"/>
  <c r="AY40" i="22"/>
  <c r="AY48" i="22"/>
  <c r="AZ44" i="22"/>
  <c r="AZ49" i="22"/>
  <c r="AZ41" i="22"/>
  <c r="B46" i="3"/>
  <c r="AW38" i="22"/>
  <c r="AW42" i="22"/>
  <c r="AW46" i="22"/>
  <c r="AX40" i="22"/>
  <c r="AX44" i="22"/>
  <c r="AX48" i="22"/>
  <c r="AU39" i="22"/>
  <c r="AU43" i="22"/>
  <c r="AU47" i="22"/>
  <c r="AV47" i="22"/>
  <c r="AW39" i="22"/>
  <c r="AW43" i="22"/>
  <c r="AW47" i="22"/>
  <c r="AX37" i="22"/>
  <c r="AX41" i="22"/>
  <c r="AX45" i="22"/>
  <c r="AX49" i="22"/>
  <c r="AV36" i="22"/>
  <c r="AU40" i="22"/>
  <c r="AU44" i="22"/>
  <c r="AU48" i="22"/>
  <c r="AV40" i="22"/>
  <c r="AV41" i="22"/>
  <c r="AV45" i="22"/>
  <c r="AW40" i="22"/>
  <c r="AW44" i="22"/>
  <c r="AW48" i="22"/>
  <c r="AX38" i="22"/>
  <c r="AX42" i="22"/>
  <c r="AX46" i="22"/>
  <c r="AU37" i="22"/>
  <c r="AU41" i="22"/>
  <c r="AU45" i="22"/>
  <c r="AU49" i="22"/>
  <c r="AU36" i="22"/>
  <c r="AV39" i="22"/>
  <c r="AV44" i="22"/>
  <c r="AV49" i="22"/>
  <c r="AV42" i="22"/>
  <c r="AW37" i="22"/>
  <c r="AW41" i="22"/>
  <c r="AW45" i="22"/>
  <c r="AW49" i="22"/>
  <c r="AW36" i="22"/>
  <c r="AX39" i="22"/>
  <c r="AX43" i="22"/>
  <c r="AX47" i="22"/>
  <c r="AU38" i="22"/>
  <c r="AU42" i="22"/>
  <c r="AU46" i="22"/>
  <c r="AV43" i="22"/>
  <c r="AV48" i="22"/>
  <c r="AV38" i="22"/>
  <c r="AX36" i="22"/>
  <c r="AV37" i="22"/>
  <c r="AV46" i="22"/>
  <c r="Q20" i="23"/>
  <c r="D20" i="23"/>
  <c r="L20" i="23"/>
  <c r="F20" i="23"/>
  <c r="E20" i="23" s="1"/>
  <c r="B20" i="23"/>
  <c r="P20" i="23"/>
  <c r="O20" i="23"/>
  <c r="N20" i="23" s="1"/>
  <c r="R20" i="23"/>
  <c r="K20" i="23"/>
  <c r="M20" i="23"/>
  <c r="C20" i="23"/>
  <c r="H20" i="23"/>
  <c r="G20" i="23"/>
  <c r="I20" i="23"/>
  <c r="C49" i="3"/>
  <c r="AY50" i="22" s="1"/>
  <c r="G32" i="22"/>
  <c r="F32" i="22"/>
  <c r="P32" i="22"/>
  <c r="O32" i="22"/>
  <c r="L49" i="22"/>
  <c r="G49" i="22"/>
  <c r="C49" i="22"/>
  <c r="F49" i="22"/>
  <c r="K49" i="22"/>
  <c r="M49" i="22"/>
  <c r="D49" i="22"/>
  <c r="L32" i="22"/>
  <c r="D32" i="22"/>
  <c r="C32" i="22"/>
  <c r="N49" i="22"/>
  <c r="B49" i="22"/>
  <c r="M32" i="22"/>
  <c r="K32" i="22"/>
  <c r="E49" i="22"/>
  <c r="E32" i="22"/>
  <c r="N32" i="22"/>
  <c r="B32" i="22"/>
  <c r="P49" i="22"/>
  <c r="O49" i="22"/>
  <c r="W32" i="22"/>
  <c r="V32" i="22"/>
  <c r="X32" i="22"/>
  <c r="Y32" i="22"/>
  <c r="T32" i="22"/>
  <c r="U32" i="22"/>
  <c r="AE32" i="22"/>
  <c r="AF32" i="22"/>
  <c r="AG32" i="22"/>
  <c r="AD32" i="22"/>
  <c r="AH32" i="22"/>
  <c r="AC32" i="22"/>
  <c r="W49" i="22"/>
  <c r="Y49" i="22"/>
  <c r="V49" i="22"/>
  <c r="T49" i="22"/>
  <c r="X49" i="22"/>
  <c r="U49" i="22"/>
  <c r="AE49" i="22"/>
  <c r="AD49" i="22"/>
  <c r="AG49" i="22"/>
  <c r="AF49" i="22"/>
  <c r="AH49" i="22"/>
  <c r="AC49" i="22"/>
  <c r="AM32" i="22"/>
  <c r="AP32" i="22"/>
  <c r="AQ32" i="22"/>
  <c r="AO32" i="22"/>
  <c r="AN32" i="22"/>
  <c r="AL32" i="22"/>
  <c r="AX32" i="22"/>
  <c r="AU32" i="22"/>
  <c r="AY32" i="22"/>
  <c r="AZ32" i="22"/>
  <c r="AW32" i="22"/>
  <c r="AV32" i="22"/>
  <c r="A21" i="23"/>
  <c r="AU50" i="22" l="1"/>
  <c r="AV50" i="22"/>
  <c r="AW50" i="22"/>
  <c r="M21" i="23"/>
  <c r="B21" i="23"/>
  <c r="Q21" i="23"/>
  <c r="L21" i="23"/>
  <c r="K21" i="23"/>
  <c r="P21" i="23"/>
  <c r="O21" i="23"/>
  <c r="N21" i="23" s="1"/>
  <c r="R21" i="23"/>
  <c r="I21" i="23"/>
  <c r="H21" i="23"/>
  <c r="F21" i="23"/>
  <c r="E21" i="23" s="1"/>
  <c r="G21" i="23"/>
  <c r="D21" i="23"/>
  <c r="C21" i="23"/>
  <c r="C50" i="3"/>
  <c r="G33" i="22"/>
  <c r="F33" i="22"/>
  <c r="P33" i="22"/>
  <c r="O33" i="22"/>
  <c r="F50" i="22"/>
  <c r="M50" i="22"/>
  <c r="G50" i="22"/>
  <c r="L50" i="22"/>
  <c r="C50" i="22"/>
  <c r="C33" i="22"/>
  <c r="E33" i="22"/>
  <c r="B33" i="22"/>
  <c r="B50" i="22"/>
  <c r="N50" i="22"/>
  <c r="D50" i="22"/>
  <c r="E50" i="22"/>
  <c r="L33" i="22"/>
  <c r="K50" i="22"/>
  <c r="M33" i="22"/>
  <c r="N33" i="22"/>
  <c r="D33" i="22"/>
  <c r="K33" i="22"/>
  <c r="P50" i="22"/>
  <c r="O50" i="22"/>
  <c r="V33" i="22"/>
  <c r="W33" i="22"/>
  <c r="X33" i="22"/>
  <c r="Y33" i="22"/>
  <c r="T33" i="22"/>
  <c r="U33" i="22"/>
  <c r="AG33" i="22"/>
  <c r="AD33" i="22"/>
  <c r="AF33" i="22"/>
  <c r="AH33" i="22"/>
  <c r="AE33" i="22"/>
  <c r="AC33" i="22"/>
  <c r="Y50" i="22"/>
  <c r="T50" i="22"/>
  <c r="X50" i="22"/>
  <c r="U50" i="22"/>
  <c r="W50" i="22"/>
  <c r="V50" i="22"/>
  <c r="AG50" i="22"/>
  <c r="AF50" i="22"/>
  <c r="AE50" i="22"/>
  <c r="AD50" i="22"/>
  <c r="AH50" i="22"/>
  <c r="AC50" i="22"/>
  <c r="AN33" i="22"/>
  <c r="AO33" i="22"/>
  <c r="AL33" i="22"/>
  <c r="AP33" i="22"/>
  <c r="AQ33" i="22"/>
  <c r="AM33" i="22"/>
  <c r="AY33" i="22"/>
  <c r="AU33" i="22"/>
  <c r="AX33" i="22"/>
  <c r="AZ33" i="22"/>
  <c r="AV33" i="22"/>
  <c r="AW33" i="22"/>
  <c r="AL50" i="22"/>
  <c r="AQ50" i="22"/>
  <c r="AP50" i="22"/>
  <c r="AO50" i="22"/>
  <c r="AM50" i="22"/>
  <c r="AN50" i="22"/>
  <c r="AX50" i="22"/>
  <c r="AZ50" i="22"/>
  <c r="A22" i="23"/>
  <c r="O22" i="23" l="1"/>
  <c r="N22" i="23" s="1"/>
  <c r="R22" i="23"/>
  <c r="Q22" i="23"/>
  <c r="B22" i="23"/>
  <c r="M22" i="23"/>
  <c r="L22" i="23"/>
  <c r="P22" i="23"/>
  <c r="K22" i="23"/>
  <c r="H22" i="23"/>
  <c r="F22" i="23"/>
  <c r="E22" i="23" s="1"/>
  <c r="C22" i="23"/>
  <c r="G22" i="23"/>
  <c r="D22" i="23"/>
  <c r="I22" i="23"/>
  <c r="C51" i="3"/>
  <c r="F34" i="22"/>
  <c r="G34" i="22"/>
  <c r="P34" i="22"/>
  <c r="O34" i="22"/>
  <c r="C51" i="22"/>
  <c r="F51" i="22"/>
  <c r="N51" i="22"/>
  <c r="G51" i="22"/>
  <c r="L51" i="22"/>
  <c r="E51" i="22"/>
  <c r="B34" i="22"/>
  <c r="C34" i="22"/>
  <c r="K51" i="22"/>
  <c r="D51" i="22"/>
  <c r="L34" i="22"/>
  <c r="B51" i="22"/>
  <c r="M34" i="22"/>
  <c r="K34" i="22"/>
  <c r="N34" i="22"/>
  <c r="M51" i="22"/>
  <c r="E34" i="22"/>
  <c r="D34" i="22"/>
  <c r="P51" i="22"/>
  <c r="O51" i="22"/>
  <c r="V34" i="22"/>
  <c r="U34" i="22"/>
  <c r="X34" i="22"/>
  <c r="Y34" i="22"/>
  <c r="W34" i="22"/>
  <c r="T34" i="22"/>
  <c r="AF34" i="22"/>
  <c r="AD34" i="22"/>
  <c r="AE34" i="22"/>
  <c r="AG34" i="22"/>
  <c r="AC34" i="22"/>
  <c r="AH34" i="22"/>
  <c r="W51" i="22"/>
  <c r="Y51" i="22"/>
  <c r="U51" i="22"/>
  <c r="T51" i="22"/>
  <c r="V51" i="22"/>
  <c r="X51" i="22"/>
  <c r="AG51" i="22"/>
  <c r="AE51" i="22"/>
  <c r="AC51" i="22"/>
  <c r="AH51" i="22"/>
  <c r="AF51" i="22"/>
  <c r="AD51" i="22"/>
  <c r="AN34" i="22"/>
  <c r="AM34" i="22"/>
  <c r="AQ34" i="22"/>
  <c r="AP34" i="22"/>
  <c r="AO34" i="22"/>
  <c r="AL34" i="22"/>
  <c r="AU34" i="22"/>
  <c r="AW34" i="22"/>
  <c r="AZ34" i="22"/>
  <c r="AV34" i="22"/>
  <c r="AX34" i="22"/>
  <c r="AY34" i="22"/>
  <c r="AP51" i="22"/>
  <c r="AL51" i="22"/>
  <c r="AQ51" i="22"/>
  <c r="AN51" i="22"/>
  <c r="AO51" i="22"/>
  <c r="AM51" i="22"/>
  <c r="AZ51" i="22"/>
  <c r="AY51" i="22"/>
  <c r="AW51" i="22"/>
  <c r="AU51" i="22"/>
  <c r="AV51" i="22"/>
  <c r="AX51" i="22"/>
  <c r="A23" i="23"/>
  <c r="K23" i="23" l="1"/>
  <c r="P23" i="23"/>
  <c r="O23" i="23"/>
  <c r="N23" i="23" s="1"/>
  <c r="R23" i="23"/>
  <c r="M23" i="23"/>
  <c r="Q23" i="23"/>
  <c r="B23" i="23"/>
  <c r="L23" i="23"/>
  <c r="I23" i="23"/>
  <c r="C23" i="23"/>
  <c r="G23" i="23"/>
  <c r="F23" i="23"/>
  <c r="E23" i="23" s="1"/>
  <c r="H23" i="23"/>
  <c r="D23" i="23"/>
  <c r="C52" i="3"/>
  <c r="C53" i="3" s="1"/>
  <c r="C54" i="3" s="1"/>
  <c r="F35" i="22"/>
  <c r="G35" i="22"/>
  <c r="P35" i="22"/>
  <c r="O35" i="22"/>
  <c r="F52" i="22"/>
  <c r="C52" i="22"/>
  <c r="G52" i="22"/>
  <c r="L52" i="22"/>
  <c r="D35" i="22"/>
  <c r="E35" i="22"/>
  <c r="B35" i="22"/>
  <c r="B52" i="22"/>
  <c r="K52" i="22"/>
  <c r="M52" i="22"/>
  <c r="E52" i="22"/>
  <c r="N52" i="22"/>
  <c r="K35" i="22"/>
  <c r="N35" i="22"/>
  <c r="C35" i="22"/>
  <c r="D52" i="22"/>
  <c r="L35" i="22"/>
  <c r="M35" i="22"/>
  <c r="P52" i="22"/>
  <c r="O52" i="22"/>
  <c r="X35" i="22"/>
  <c r="W35" i="22"/>
  <c r="Y35" i="22"/>
  <c r="T35" i="22"/>
  <c r="U35" i="22"/>
  <c r="V35" i="22"/>
  <c r="AC35" i="22"/>
  <c r="AF35" i="22"/>
  <c r="AH35" i="22"/>
  <c r="AG35" i="22"/>
  <c r="AE35" i="22"/>
  <c r="AD35" i="22"/>
  <c r="Y52" i="22"/>
  <c r="X52" i="22"/>
  <c r="T52" i="22"/>
  <c r="U52" i="22"/>
  <c r="V52" i="22"/>
  <c r="W52" i="22"/>
  <c r="AG52" i="22"/>
  <c r="AC52" i="22"/>
  <c r="AF52" i="22"/>
  <c r="AD52" i="22"/>
  <c r="AH52" i="22"/>
  <c r="AE52" i="22"/>
  <c r="AQ35" i="22"/>
  <c r="AN35" i="22"/>
  <c r="AO35" i="22"/>
  <c r="AL35" i="22"/>
  <c r="AM35" i="22"/>
  <c r="AP35" i="22"/>
  <c r="AY35" i="22"/>
  <c r="AW35" i="22"/>
  <c r="AX35" i="22"/>
  <c r="AZ35" i="22"/>
  <c r="AU35" i="22"/>
  <c r="AV35" i="22"/>
  <c r="AP52" i="22"/>
  <c r="AL52" i="22"/>
  <c r="AQ52" i="22"/>
  <c r="AN52" i="22"/>
  <c r="AO52" i="22"/>
  <c r="AM52" i="22"/>
  <c r="AV52" i="22"/>
  <c r="AZ52" i="22"/>
  <c r="AU52" i="22"/>
  <c r="AW52" i="22"/>
  <c r="AX52" i="22"/>
  <c r="AY52" i="22"/>
  <c r="A24" i="23"/>
  <c r="K24" i="23" l="1"/>
  <c r="O24" i="23"/>
  <c r="N24" i="23" s="1"/>
  <c r="R24" i="23"/>
  <c r="Q24" i="23"/>
  <c r="B24" i="23"/>
  <c r="M24" i="23"/>
  <c r="L24" i="23"/>
  <c r="P24" i="23"/>
  <c r="H24" i="23"/>
  <c r="D24" i="23"/>
  <c r="G24" i="23"/>
  <c r="C24" i="23"/>
  <c r="I24" i="23"/>
  <c r="F24" i="23"/>
  <c r="E24" i="23" s="1"/>
  <c r="A25" i="23"/>
  <c r="K25" i="23" l="1"/>
  <c r="L25" i="23"/>
  <c r="P25" i="23"/>
  <c r="O25" i="23"/>
  <c r="N25" i="23" s="1"/>
  <c r="R25" i="23"/>
  <c r="B25" i="23"/>
  <c r="M25" i="23"/>
  <c r="Q25" i="23"/>
  <c r="G25" i="23"/>
  <c r="C25" i="23"/>
  <c r="I25" i="23"/>
  <c r="F25" i="23"/>
  <c r="E25" i="23" s="1"/>
  <c r="H25" i="23"/>
  <c r="D25" i="23"/>
  <c r="G8" i="23"/>
  <c r="I8" i="23"/>
  <c r="H8" i="23"/>
  <c r="C8" i="23"/>
  <c r="D8" i="23"/>
  <c r="A26" i="23"/>
  <c r="F8" i="23"/>
  <c r="E8" i="23" s="1"/>
  <c r="K26" i="23" l="1"/>
  <c r="M26" i="23"/>
  <c r="L26" i="23"/>
  <c r="P26" i="23"/>
  <c r="O26" i="23"/>
  <c r="N26" i="23" s="1"/>
  <c r="B26" i="23"/>
  <c r="R26" i="23"/>
  <c r="Q26" i="23"/>
  <c r="G26" i="23"/>
  <c r="D26" i="23"/>
  <c r="I26" i="23"/>
  <c r="C26" i="23"/>
  <c r="H26" i="23"/>
  <c r="F26" i="23"/>
  <c r="E26" i="23" s="1"/>
  <c r="G7" i="23"/>
  <c r="H7" i="23"/>
  <c r="I7" i="23"/>
  <c r="A27" i="23"/>
  <c r="F7" i="23"/>
  <c r="E7" i="23" s="1"/>
  <c r="D7" i="23"/>
  <c r="C7" i="23"/>
  <c r="B27" i="23" l="1"/>
  <c r="R27" i="23"/>
  <c r="Q27" i="23"/>
  <c r="K27" i="23"/>
  <c r="M27" i="23"/>
  <c r="L27" i="23"/>
  <c r="P27" i="23"/>
  <c r="O27" i="23"/>
  <c r="N27" i="23" s="1"/>
  <c r="F27" i="23"/>
  <c r="E27" i="23" s="1"/>
  <c r="G27" i="23"/>
  <c r="H27" i="23"/>
  <c r="D27" i="23"/>
  <c r="I27" i="23"/>
  <c r="C27" i="23"/>
  <c r="H11" i="23"/>
  <c r="G11" i="23"/>
  <c r="I11" i="23"/>
  <c r="A28" i="23"/>
  <c r="F11" i="23"/>
  <c r="E11" i="23" s="1"/>
  <c r="C11" i="23"/>
  <c r="D11" i="23"/>
  <c r="B28" i="23" l="1"/>
  <c r="M28" i="23"/>
  <c r="P28" i="23"/>
  <c r="K28" i="23"/>
  <c r="Q28" i="23"/>
  <c r="O28" i="23"/>
  <c r="N28" i="23" s="1"/>
  <c r="R28" i="23"/>
  <c r="L28" i="23"/>
  <c r="G28" i="23"/>
  <c r="C28" i="23"/>
  <c r="H28" i="23"/>
  <c r="D28" i="23"/>
  <c r="I28" i="23"/>
  <c r="F28" i="23"/>
  <c r="E28" i="23" s="1"/>
  <c r="I10" i="23"/>
  <c r="H10" i="23"/>
  <c r="G10" i="23"/>
  <c r="A29" i="23"/>
  <c r="F10" i="23"/>
  <c r="E10" i="23" s="1"/>
  <c r="D10" i="23"/>
  <c r="C10" i="23"/>
  <c r="M29" i="23" l="1"/>
  <c r="K29" i="23"/>
  <c r="Q29" i="23"/>
  <c r="L29" i="23"/>
  <c r="B29" i="23"/>
  <c r="P29" i="23"/>
  <c r="O29" i="23"/>
  <c r="N29" i="23" s="1"/>
  <c r="R29" i="23"/>
  <c r="G29" i="23"/>
  <c r="C29" i="23"/>
  <c r="I29" i="23"/>
  <c r="D29" i="23"/>
  <c r="F29" i="23"/>
  <c r="E29" i="23" s="1"/>
  <c r="H29" i="23"/>
  <c r="I6" i="23"/>
  <c r="H6" i="23"/>
  <c r="G6" i="23"/>
  <c r="C6" i="23"/>
  <c r="A30" i="23"/>
  <c r="F6" i="23"/>
  <c r="E6" i="23" s="1"/>
  <c r="D6" i="23"/>
  <c r="B30" i="23" l="1"/>
  <c r="O30" i="23"/>
  <c r="N30" i="23" s="1"/>
  <c r="K30" i="23"/>
  <c r="R30" i="23"/>
  <c r="Q30" i="23"/>
  <c r="M30" i="23"/>
  <c r="L30" i="23"/>
  <c r="P30" i="23"/>
  <c r="I30" i="23"/>
  <c r="H30" i="23"/>
  <c r="C30" i="23"/>
  <c r="D30" i="23"/>
  <c r="G30" i="23"/>
  <c r="F30" i="23"/>
  <c r="E30" i="23" s="1"/>
  <c r="G5" i="23"/>
  <c r="H5" i="23"/>
  <c r="I5" i="23"/>
  <c r="A31" i="23"/>
  <c r="F5" i="23"/>
  <c r="E5" i="23" s="1"/>
  <c r="D5" i="23"/>
  <c r="C5" i="23"/>
  <c r="P31" i="23" l="1"/>
  <c r="O31" i="23"/>
  <c r="N31" i="23" s="1"/>
  <c r="R31" i="23"/>
  <c r="B31" i="23"/>
  <c r="M31" i="23"/>
  <c r="K31" i="23"/>
  <c r="Q31" i="23"/>
  <c r="L31" i="23"/>
  <c r="F31" i="23"/>
  <c r="E31" i="23" s="1"/>
  <c r="G31" i="23"/>
  <c r="H31" i="23"/>
  <c r="D31" i="23"/>
  <c r="C31" i="23"/>
  <c r="I31" i="23"/>
  <c r="H14" i="23"/>
  <c r="I14" i="23"/>
  <c r="G14" i="23"/>
  <c r="A32" i="23"/>
  <c r="F14" i="23"/>
  <c r="E14" i="23" s="1"/>
  <c r="C14" i="23"/>
  <c r="D14" i="23"/>
  <c r="B32" i="23" l="1"/>
  <c r="O32" i="23"/>
  <c r="N32" i="23" s="1"/>
  <c r="K32" i="23"/>
  <c r="R32" i="23"/>
  <c r="Q32" i="23"/>
  <c r="M32" i="23"/>
  <c r="L32" i="23"/>
  <c r="P32" i="23"/>
  <c r="I32" i="23"/>
  <c r="F32" i="23"/>
  <c r="E32" i="23" s="1"/>
  <c r="G32" i="23"/>
  <c r="C32" i="23"/>
  <c r="H32" i="23"/>
  <c r="D32" i="23"/>
  <c r="I9" i="23"/>
  <c r="H9" i="23"/>
  <c r="G9" i="23"/>
  <c r="C9" i="23"/>
  <c r="A33" i="23"/>
  <c r="D9" i="23"/>
  <c r="F9" i="23"/>
  <c r="E9" i="23" s="1"/>
  <c r="B33" i="23" l="1"/>
  <c r="L33" i="23"/>
  <c r="P33" i="23"/>
  <c r="O33" i="23"/>
  <c r="N33" i="23" s="1"/>
  <c r="R33" i="23"/>
  <c r="K33" i="23"/>
  <c r="M33" i="23"/>
  <c r="Q33" i="23"/>
  <c r="G33" i="23"/>
  <c r="F33" i="23"/>
  <c r="E33" i="23" s="1"/>
  <c r="C33" i="23"/>
  <c r="H33" i="23"/>
  <c r="D33" i="23"/>
  <c r="I33" i="23"/>
  <c r="G15" i="23"/>
  <c r="I15" i="23"/>
  <c r="H15" i="23"/>
  <c r="C15" i="23"/>
  <c r="A34" i="23"/>
  <c r="D15" i="23"/>
  <c r="F15" i="23"/>
  <c r="E15" i="23" s="1"/>
  <c r="O34" i="23" l="1"/>
  <c r="N34" i="23" s="1"/>
  <c r="L34" i="23"/>
  <c r="B34" i="23"/>
  <c r="P34" i="23"/>
  <c r="R34" i="23"/>
  <c r="K34" i="23"/>
  <c r="M34" i="23"/>
  <c r="Q34" i="23"/>
  <c r="H34" i="23"/>
  <c r="D34" i="23"/>
  <c r="C34" i="23"/>
  <c r="I34" i="23"/>
  <c r="G34" i="23"/>
  <c r="F34" i="23"/>
  <c r="E34" i="23" s="1"/>
  <c r="G16" i="23"/>
  <c r="H16" i="23"/>
  <c r="I16" i="23"/>
  <c r="A35" i="23"/>
  <c r="F16" i="23"/>
  <c r="E16" i="23" s="1"/>
  <c r="C16" i="23"/>
  <c r="D16" i="23"/>
  <c r="Q35" i="23" l="1"/>
  <c r="O35" i="23"/>
  <c r="N35" i="23" s="1"/>
  <c r="B35" i="23"/>
  <c r="R35" i="23"/>
  <c r="L35" i="23"/>
  <c r="K35" i="23"/>
  <c r="M35" i="23"/>
  <c r="P35" i="23"/>
  <c r="G35" i="23"/>
  <c r="D35" i="23"/>
  <c r="I35" i="23"/>
  <c r="F35" i="23"/>
  <c r="E35" i="23" s="1"/>
  <c r="H35" i="23"/>
  <c r="C35" i="23"/>
  <c r="H12" i="23"/>
  <c r="G12" i="23"/>
  <c r="I12" i="23"/>
  <c r="A36" i="23"/>
  <c r="F12" i="23"/>
  <c r="E12" i="23" s="1"/>
  <c r="D12" i="23"/>
  <c r="C12" i="23"/>
  <c r="L36" i="23" l="1"/>
  <c r="M36" i="23"/>
  <c r="P36" i="23"/>
  <c r="B36" i="23"/>
  <c r="O36" i="23"/>
  <c r="N36" i="23" s="1"/>
  <c r="K36" i="23"/>
  <c r="R36" i="23"/>
  <c r="Q36" i="23"/>
  <c r="G36" i="23"/>
  <c r="D36" i="23"/>
  <c r="C36" i="23"/>
  <c r="I36" i="23"/>
  <c r="H36" i="23"/>
  <c r="F36" i="23"/>
  <c r="E36" i="23" s="1"/>
  <c r="I18" i="23"/>
  <c r="H18" i="23"/>
  <c r="G18" i="23"/>
  <c r="A37" i="23"/>
  <c r="F18" i="23"/>
  <c r="E18" i="23" s="1"/>
  <c r="D18" i="23"/>
  <c r="C18" i="23"/>
  <c r="Q37" i="23" l="1"/>
  <c r="B37" i="23"/>
  <c r="M37" i="23"/>
  <c r="R37" i="23"/>
  <c r="R38" i="23" s="1"/>
  <c r="K37" i="23"/>
  <c r="O37" i="23"/>
  <c r="N37" i="23" s="1"/>
  <c r="P37" i="23"/>
  <c r="L37" i="23"/>
  <c r="H37" i="23"/>
  <c r="C37" i="23"/>
  <c r="I37" i="23"/>
  <c r="D37" i="23"/>
  <c r="G37" i="23"/>
  <c r="F37" i="23"/>
  <c r="E37" i="23" s="1"/>
  <c r="I17" i="23"/>
  <c r="H17" i="23"/>
  <c r="G17" i="23"/>
  <c r="C17" i="23"/>
  <c r="F17" i="23"/>
  <c r="E17" i="23" s="1"/>
  <c r="D17" i="23"/>
  <c r="I38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Christophe d'ANDREA</author>
  </authors>
  <commentList>
    <comment ref="B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Christophe d'ANDREA:</t>
        </r>
        <r>
          <rPr>
            <sz val="9"/>
            <color indexed="81"/>
            <rFont val="Tahoma"/>
            <family val="2"/>
          </rPr>
          <t xml:space="preserve">
demande déposée dans ADAGE le 24/01/2023</t>
        </r>
      </text>
    </comment>
    <comment ref="C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Christophe d'ANDREA:</t>
        </r>
        <r>
          <rPr>
            <sz val="9"/>
            <color indexed="81"/>
            <rFont val="Tahoma"/>
            <family val="2"/>
          </rPr>
          <t xml:space="preserve">
demande déposée dans ADAGE le 24/01/2023</t>
        </r>
      </text>
    </comment>
    <comment ref="B4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Christophe d'ANDREA:</t>
        </r>
        <r>
          <rPr>
            <sz val="9"/>
            <color indexed="81"/>
            <rFont val="Tahoma"/>
            <family val="2"/>
          </rPr>
          <t xml:space="preserve">
agréé (mail de Pascal du 16.12.2022)</t>
        </r>
      </text>
    </comment>
    <comment ref="B6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Christophe d'ANDREA:</t>
        </r>
        <r>
          <rPr>
            <sz val="9"/>
            <color indexed="81"/>
            <rFont val="Tahoma"/>
            <family val="2"/>
          </rPr>
          <t xml:space="preserve">
demande déposée dans ADAGE le 24/01/2023</t>
        </r>
      </text>
    </comment>
    <comment ref="C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Christophe d'ANDREA:</t>
        </r>
        <r>
          <rPr>
            <sz val="9"/>
            <color indexed="81"/>
            <rFont val="Tahoma"/>
            <family val="2"/>
          </rPr>
          <t xml:space="preserve">
demande déposée dans ADAGE le 24/01/2023</t>
        </r>
      </text>
    </comment>
    <comment ref="B7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Christophe d'ANDREA:</t>
        </r>
        <r>
          <rPr>
            <sz val="9"/>
            <color indexed="81"/>
            <rFont val="Tahoma"/>
            <family val="2"/>
          </rPr>
          <t xml:space="preserve">
demande déposée dans ADAGE le 24/01/2023</t>
        </r>
      </text>
    </comment>
    <comment ref="B8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Christophe d'ANDREA:</t>
        </r>
        <r>
          <rPr>
            <sz val="9"/>
            <color indexed="81"/>
            <rFont val="Tahoma"/>
            <family val="2"/>
          </rPr>
          <t xml:space="preserve">
demande déposée dans ADAGE le 24/01/2023</t>
        </r>
      </text>
    </comment>
    <comment ref="B10" authorId="0" shapeId="0" xr:uid="{7F23DE71-7936-4358-A1FC-6AFD64A168BF}">
      <text>
        <r>
          <rPr>
            <b/>
            <sz val="9"/>
            <color indexed="81"/>
            <rFont val="Tahoma"/>
            <family val="2"/>
          </rPr>
          <t>Christophe d'ANDREA:</t>
        </r>
        <r>
          <rPr>
            <sz val="9"/>
            <color indexed="81"/>
            <rFont val="Tahoma"/>
            <family val="2"/>
          </rPr>
          <t xml:space="preserve">
demande déposée dans ADAGE le 14/03/2023</t>
        </r>
      </text>
    </comment>
    <comment ref="B11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Christophe d'ANDREA:</t>
        </r>
        <r>
          <rPr>
            <sz val="9"/>
            <color indexed="81"/>
            <rFont val="Tahoma"/>
            <family val="2"/>
          </rPr>
          <t xml:space="preserve">
demande déposée dans ADAGE le 24/01/2023</t>
        </r>
      </text>
    </comment>
    <comment ref="C13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Christophe d'ANDREA:</t>
        </r>
        <r>
          <rPr>
            <sz val="9"/>
            <color indexed="81"/>
            <rFont val="Tahoma"/>
            <family val="2"/>
          </rPr>
          <t xml:space="preserve">
demande déposée dans ADAGE le 24/01/2023</t>
        </r>
      </text>
    </comment>
    <comment ref="B14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Christophe d'ANDREA:</t>
        </r>
        <r>
          <rPr>
            <sz val="9"/>
            <color indexed="81"/>
            <rFont val="Tahoma"/>
            <family val="2"/>
          </rPr>
          <t xml:space="preserve">
agréé (mail de Pascal du 16.12.2022)</t>
        </r>
      </text>
    </comment>
    <comment ref="C14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Christophe d'ANDREA:</t>
        </r>
        <r>
          <rPr>
            <sz val="9"/>
            <color indexed="81"/>
            <rFont val="Tahoma"/>
            <family val="2"/>
          </rPr>
          <t xml:space="preserve">
demande déposée dans ADAGE le 26/01/2023</t>
        </r>
      </text>
    </comment>
  </commentList>
</comments>
</file>

<file path=xl/sharedStrings.xml><?xml version="1.0" encoding="utf-8"?>
<sst xmlns="http://schemas.openxmlformats.org/spreadsheetml/2006/main" count="1188" uniqueCount="389">
  <si>
    <t>LISTE DES COURS</t>
  </si>
  <si>
    <t>ID</t>
  </si>
  <si>
    <t>LIEU</t>
  </si>
  <si>
    <t>HEURE DE DÉBUT</t>
  </si>
  <si>
    <t>HEURE DE FIN</t>
  </si>
  <si>
    <t>UNIQUE</t>
  </si>
  <si>
    <t>DATE</t>
  </si>
  <si>
    <t>FORMATEUR</t>
  </si>
  <si>
    <t>VOL. HR</t>
  </si>
  <si>
    <t>TOTAL Heures programmées</t>
  </si>
  <si>
    <t>Jours fériés</t>
  </si>
  <si>
    <t>Jour de l'an</t>
  </si>
  <si>
    <t>Pâques</t>
  </si>
  <si>
    <t>Fête du Travail</t>
  </si>
  <si>
    <t>Victoire 1945</t>
  </si>
  <si>
    <t>Fête nationale</t>
  </si>
  <si>
    <t>Assomption</t>
  </si>
  <si>
    <t>Toussaint</t>
  </si>
  <si>
    <t>Armistice</t>
  </si>
  <si>
    <t>Abolition esclavage</t>
  </si>
  <si>
    <t>Noël</t>
  </si>
  <si>
    <t>Lundi de Pâques</t>
  </si>
  <si>
    <t>Ascension</t>
  </si>
  <si>
    <t>Pentecôte</t>
  </si>
  <si>
    <t>Année</t>
  </si>
  <si>
    <t>M1</t>
  </si>
  <si>
    <t>M2</t>
  </si>
  <si>
    <t>M3</t>
  </si>
  <si>
    <t>M4</t>
  </si>
  <si>
    <t>M5</t>
  </si>
  <si>
    <t>FEV.</t>
  </si>
  <si>
    <t>JANV.</t>
  </si>
  <si>
    <t>MARS</t>
  </si>
  <si>
    <t>AVRIL</t>
  </si>
  <si>
    <t>C1.1</t>
  </si>
  <si>
    <t>C1.2</t>
  </si>
  <si>
    <t>C1.3</t>
  </si>
  <si>
    <t>C1.4</t>
  </si>
  <si>
    <t>C2.1</t>
  </si>
  <si>
    <t>C2.2</t>
  </si>
  <si>
    <t>C2.3</t>
  </si>
  <si>
    <t>C3.1</t>
  </si>
  <si>
    <t>C3.2</t>
  </si>
  <si>
    <t>C3.3</t>
  </si>
  <si>
    <t>C3.4</t>
  </si>
  <si>
    <t>C3.5</t>
  </si>
  <si>
    <t>C4.1</t>
  </si>
  <si>
    <t>C4.2</t>
  </si>
  <si>
    <t>C4.3</t>
  </si>
  <si>
    <t>C4.4</t>
  </si>
  <si>
    <t>HR prév.</t>
  </si>
  <si>
    <t>HR prog.</t>
  </si>
  <si>
    <t>USEC70</t>
  </si>
  <si>
    <t>USEC71</t>
  </si>
  <si>
    <t>USEC72</t>
  </si>
  <si>
    <t>USEC73</t>
  </si>
  <si>
    <t>UAEC13</t>
  </si>
  <si>
    <t>Mémoire</t>
  </si>
  <si>
    <t>M6</t>
  </si>
  <si>
    <t>M7</t>
  </si>
  <si>
    <t>M8</t>
  </si>
  <si>
    <t>M9</t>
  </si>
  <si>
    <t>M10</t>
  </si>
  <si>
    <t>M11</t>
  </si>
  <si>
    <t>M12</t>
  </si>
  <si>
    <t>M13</t>
  </si>
  <si>
    <t>MODULES</t>
  </si>
  <si>
    <t>FORMATEURS</t>
  </si>
  <si>
    <t>Gestion commerciale de l’entreprise</t>
  </si>
  <si>
    <t>Normes et exploitation techniques</t>
  </si>
  <si>
    <t>Gestion prévisionnelle des finances de l’entreprise</t>
  </si>
  <si>
    <t>Aspects juridiques de la vie de l’entreprise</t>
  </si>
  <si>
    <t>Règlementation nationale et internationale</t>
  </si>
  <si>
    <t>Planification et optimisation de l’exploitation transport et logistique</t>
  </si>
  <si>
    <t>Procédures RH et droit social</t>
  </si>
  <si>
    <t>Politique QHSSE : Conditions de travail et IRP</t>
  </si>
  <si>
    <t>Les comptes de fin d’exercice</t>
  </si>
  <si>
    <t>Les opérations de fin d’exercice</t>
  </si>
  <si>
    <t>La fiscalité</t>
  </si>
  <si>
    <t>KPI et SAV</t>
  </si>
  <si>
    <t>Méthodologie et accompagnement mémoire professionnel</t>
  </si>
  <si>
    <t>EVALUATIONS</t>
  </si>
  <si>
    <t>Ouverture</t>
  </si>
  <si>
    <t>Bilan</t>
  </si>
  <si>
    <t>BC 1</t>
  </si>
  <si>
    <t>BC 2</t>
  </si>
  <si>
    <t>BC 3</t>
  </si>
  <si>
    <t>BC 4</t>
  </si>
  <si>
    <t>Réaliser une étude de marché et mettre en place un plan de développement commercial :</t>
  </si>
  <si>
    <t>Mettre en place la structure juridique et financière nécessaire au lancement de l'activité de l'unité de Transport et Logistique :</t>
  </si>
  <si>
    <t>Planifier et piloter l'activité de l'unité Transport et Logistique :</t>
  </si>
  <si>
    <t>Mesurer et optimiser l'activité de l'unité Transport et Logistique :</t>
  </si>
  <si>
    <t>AFTRAL</t>
  </si>
  <si>
    <t>S1</t>
  </si>
  <si>
    <t>S2</t>
  </si>
  <si>
    <t>S1-S2</t>
  </si>
  <si>
    <t>S3</t>
  </si>
  <si>
    <t>S1-S2 S3</t>
  </si>
  <si>
    <t>L’étude de marché et le business Model</t>
  </si>
  <si>
    <t>La stratégie et la politique commerciale</t>
  </si>
  <si>
    <t>C 1.1</t>
  </si>
  <si>
    <t>C 1.2</t>
  </si>
  <si>
    <t>C 1.4</t>
  </si>
  <si>
    <t>Gestion de parc</t>
  </si>
  <si>
    <t>Transport de frets spécifiques</t>
  </si>
  <si>
    <t>QUILLET / NAYLS</t>
  </si>
  <si>
    <t>THIAW-PO-UNE</t>
  </si>
  <si>
    <t>La gestion prévisionnelle : Financement</t>
  </si>
  <si>
    <t>La gestion prévisionnelle de l’activité transport et logistique</t>
  </si>
  <si>
    <t>La gestion prévisionnelle : L’échéancier</t>
  </si>
  <si>
    <t>C 4.1</t>
  </si>
  <si>
    <t>S4</t>
  </si>
  <si>
    <t>Droit civil</t>
  </si>
  <si>
    <t>LABORIE</t>
  </si>
  <si>
    <t>Droit commercial</t>
  </si>
  <si>
    <t>Les formes juridiques</t>
  </si>
  <si>
    <t>TOTAL</t>
  </si>
  <si>
    <t>SEQUENCES</t>
  </si>
  <si>
    <t>C 4.2</t>
  </si>
  <si>
    <t>C 2.1</t>
  </si>
  <si>
    <t>C 2.3</t>
  </si>
  <si>
    <t>Encadrement de la profession</t>
  </si>
  <si>
    <t>Les relations contractuelles de la profession</t>
  </si>
  <si>
    <t>Le contrat de transport international</t>
  </si>
  <si>
    <t>Règles administratives et douanières</t>
  </si>
  <si>
    <t>C 3.2</t>
  </si>
  <si>
    <t>Transports multimodaux</t>
  </si>
  <si>
    <t>Planification du transport routier et ou multimodal de marchandises (national ou international)</t>
  </si>
  <si>
    <t>Management opérationnel</t>
  </si>
  <si>
    <t>Pilotage de la performance de l’activité</t>
  </si>
  <si>
    <t>C 3.1</t>
  </si>
  <si>
    <t>C 3.3</t>
  </si>
  <si>
    <t>C 3.4</t>
  </si>
  <si>
    <t>C 4.3</t>
  </si>
  <si>
    <t>Législation sociale</t>
  </si>
  <si>
    <t>Recrutement et suivi du personnel</t>
  </si>
  <si>
    <t>Rédaction et mise en oeuvre du contrat de travail</t>
  </si>
  <si>
    <t>Rupture du contrat de travail</t>
  </si>
  <si>
    <t>Les IRP (Instances Représentatives du Personnel)</t>
  </si>
  <si>
    <t>Politique QHSSE : Règles et procédures Qualité</t>
  </si>
  <si>
    <t>Politique QHSSE : Règles d’hygiène et de sécurité</t>
  </si>
  <si>
    <t>Politique QHSSE : Environnement</t>
  </si>
  <si>
    <t>C 3.5</t>
  </si>
  <si>
    <t>CHEVRANT-BRETON</t>
  </si>
  <si>
    <t>Le compte de résultat</t>
  </si>
  <si>
    <t>Analyse de l’activité</t>
  </si>
  <si>
    <t>Le bilan</t>
  </si>
  <si>
    <t>Analyser et optimiser l’activité économique de l’entreprise</t>
  </si>
  <si>
    <t>KPI : Optimisation de l’exploitation transport</t>
  </si>
  <si>
    <t>SAV : Prévenir et gérer les litiges</t>
  </si>
  <si>
    <t>C 4.4</t>
  </si>
  <si>
    <t>NAYLS</t>
  </si>
  <si>
    <t>Ouverture - Bilan</t>
  </si>
  <si>
    <t>Réaliser une étude de marché transport en utilisant les techniques d’analyse prospective et sectorielle.</t>
  </si>
  <si>
    <t>Etablir un plan de trésorerie prévisionnelle détaillé et adapté à une première année d’activité en anticipant les décalages entre les encaissements et les décaissements.</t>
  </si>
  <si>
    <t>Calculer les coûts d’exploitation de l’activité transport en utilisant les techniques et standards conventionnels professionnels de calcul des coûts de revient.</t>
  </si>
  <si>
    <t>Établir une politique commerciale conforme aux contraintes économiques et professionnelles à l’aide de la stratégie « produit » définie permettant l’atteinte des objectifs commerciaux fixés.</t>
  </si>
  <si>
    <t>Mettre en place la structure organisationnelle de l’unité en choisissant la forme juridique la plus appropriée.</t>
  </si>
  <si>
    <t>Constituer le dossier de financement de l’activité à partir des données issues du modèle d’affaires (business model) de l’unité.</t>
  </si>
  <si>
    <t>Concevoir le cadre contractuel des activités transport logistique en définissant les limites de responsabilité des parties et en intégrant la tarification des prestations annexes.</t>
  </si>
  <si>
    <t>Organiser la planification nationale ou internationale des moyens de production en déterminant les besoins en ressources humaines et matérielles conformément aux règlementations en vigueur.</t>
  </si>
  <si>
    <t>Elaborer les procédures de recrutement des nouveaux collaborateurs en s’assurant de la bonne adéquation entre les compétences recherchées et le profil des candidats.</t>
  </si>
  <si>
    <t>Réaliser l’accompagnement du salarié dans sa vie professionnelle en mettant en place des instances représentatives du personnel.</t>
  </si>
  <si>
    <t>Conduire la gestion des équipes à l’aide d’outils managériaux permettant la prévention des conflits et la création d’une dynamique collaborative.</t>
  </si>
  <si>
    <t>Définir une politique QHSSE qui prend en compte la prévention et la formation des collaborateurs afin de favoriser la réduction des risques de l’activité.</t>
  </si>
  <si>
    <t>Analyser les données économiques de l’activité à l’aide des données de facturation, des éléments d’ordre fiscal et comptable de fin d’exercice.</t>
  </si>
  <si>
    <t>Élaborer une stratégie financière en assurant la continuité et l’évolution de l’activité à partir d’actions correctives mises en oeuvre.</t>
  </si>
  <si>
    <t>Piloter la performance de l’unité de transport et de logistique à l’aide des indicateurs de l’activité et des outils d’optimisation de flux.</t>
  </si>
  <si>
    <t>Mettre en place une politique de gestion des litiges et de la relation client à partir des réclamations et anomalies recensées.</t>
  </si>
  <si>
    <t>S1-S3</t>
  </si>
  <si>
    <t>C 1.3</t>
  </si>
  <si>
    <t>S1-S3 S4</t>
  </si>
  <si>
    <t>S2-S3 S4</t>
  </si>
  <si>
    <t>S2-S4</t>
  </si>
  <si>
    <t>Les plus et moins-values de cession</t>
  </si>
  <si>
    <t>Les provisions</t>
  </si>
  <si>
    <t>Les amortissements</t>
  </si>
  <si>
    <t>EV1</t>
  </si>
  <si>
    <t>EV2</t>
  </si>
  <si>
    <t>EV3</t>
  </si>
  <si>
    <t>EV4</t>
  </si>
  <si>
    <t>QUILLET / FERRAND</t>
  </si>
  <si>
    <t>FERRAND / MANOUKIAN / ETHEVE / COURLY</t>
  </si>
  <si>
    <t>ETHEVE / QUILLET</t>
  </si>
  <si>
    <t>BILAN</t>
  </si>
  <si>
    <t>OUV.</t>
  </si>
  <si>
    <t>M1 - Gestion commerciale de l’entreprise</t>
  </si>
  <si>
    <t>M3 - Gestion prévisionnelle des finances de l’entreprise</t>
  </si>
  <si>
    <t>M4 - Aspects juridiques de la vie de l’entreprise</t>
  </si>
  <si>
    <t>mois</t>
  </si>
  <si>
    <t>freq.mois</t>
  </si>
  <si>
    <t>Lu</t>
  </si>
  <si>
    <t>Ma</t>
  </si>
  <si>
    <t>Me</t>
  </si>
  <si>
    <t>Je</t>
  </si>
  <si>
    <t>Ve</t>
  </si>
  <si>
    <t>Sa</t>
  </si>
  <si>
    <t>Di</t>
  </si>
  <si>
    <t>date</t>
  </si>
  <si>
    <t>début</t>
  </si>
  <si>
    <t>fin</t>
  </si>
  <si>
    <t>cours programmés</t>
  </si>
  <si>
    <t>jours fériés</t>
  </si>
  <si>
    <t>année</t>
  </si>
  <si>
    <t>Observations</t>
  </si>
  <si>
    <t>ouverture de session</t>
  </si>
  <si>
    <t>séquences/mois</t>
  </si>
  <si>
    <t>Mois</t>
  </si>
  <si>
    <t>évaluations</t>
  </si>
  <si>
    <t>TP mémoire</t>
  </si>
  <si>
    <t>MAI</t>
  </si>
  <si>
    <t>JUIN</t>
  </si>
  <si>
    <t>JUIL.</t>
  </si>
  <si>
    <t>AOUT</t>
  </si>
  <si>
    <t>Entrer l'année en B1</t>
  </si>
  <si>
    <t>SEPT.</t>
  </si>
  <si>
    <t>OCT.</t>
  </si>
  <si>
    <t>NOV.</t>
  </si>
  <si>
    <t>DEC.</t>
  </si>
  <si>
    <t>M1.1</t>
  </si>
  <si>
    <t>M1.2</t>
  </si>
  <si>
    <t>reste à prog.</t>
  </si>
  <si>
    <t>M2.1</t>
  </si>
  <si>
    <t>M2.2</t>
  </si>
  <si>
    <t>M3.1</t>
  </si>
  <si>
    <t>M3.2</t>
  </si>
  <si>
    <t>M3.3</t>
  </si>
  <si>
    <t>M4.1</t>
  </si>
  <si>
    <t>M4.2</t>
  </si>
  <si>
    <t>M5.1</t>
  </si>
  <si>
    <t>M5.2</t>
  </si>
  <si>
    <t>M5.3</t>
  </si>
  <si>
    <t>M5.4</t>
  </si>
  <si>
    <t>M6.1</t>
  </si>
  <si>
    <t>M6.2</t>
  </si>
  <si>
    <t>M6.3</t>
  </si>
  <si>
    <t>M6.4</t>
  </si>
  <si>
    <t>M7.1</t>
  </si>
  <si>
    <t>M7.2</t>
  </si>
  <si>
    <t>M7.3</t>
  </si>
  <si>
    <t>M7.4</t>
  </si>
  <si>
    <t>M8.1</t>
  </si>
  <si>
    <t>M8.2</t>
  </si>
  <si>
    <t>M8.3</t>
  </si>
  <si>
    <t>M8.4</t>
  </si>
  <si>
    <t>M9.1</t>
  </si>
  <si>
    <t>M9.2</t>
  </si>
  <si>
    <t>M9.3</t>
  </si>
  <si>
    <t>M9.4</t>
  </si>
  <si>
    <t>M12.1</t>
  </si>
  <si>
    <t>M12.2</t>
  </si>
  <si>
    <t>M4.3</t>
  </si>
  <si>
    <t>M10.1</t>
  </si>
  <si>
    <t>M10.2</t>
  </si>
  <si>
    <t>M10.3</t>
  </si>
  <si>
    <t>M11.1</t>
  </si>
  <si>
    <t>Evaluation BC1</t>
  </si>
  <si>
    <t>Evaluation BC2</t>
  </si>
  <si>
    <t>fin mars</t>
  </si>
  <si>
    <t>Evaluation BC3</t>
  </si>
  <si>
    <t>Evaluation BC4</t>
  </si>
  <si>
    <t>fin sept.</t>
  </si>
  <si>
    <t>fin nov.</t>
  </si>
  <si>
    <t>Soutenances de mémoire</t>
  </si>
  <si>
    <t>EV5-M</t>
  </si>
  <si>
    <t>bilan de session</t>
  </si>
  <si>
    <t>Evaluations de 2nde session</t>
  </si>
  <si>
    <t>évaluations session 2</t>
  </si>
  <si>
    <t>EV-s2</t>
  </si>
  <si>
    <t>Formateurs</t>
  </si>
  <si>
    <t>A. THIAW-PO-UNE</t>
  </si>
  <si>
    <t>occurrences</t>
  </si>
  <si>
    <t>R. QUILLET</t>
  </si>
  <si>
    <t>S. COURLY</t>
  </si>
  <si>
    <t>LEVANT</t>
  </si>
  <si>
    <t>D. LABORIE</t>
  </si>
  <si>
    <t>F. ETHEVE</t>
  </si>
  <si>
    <t>R. FERRAND</t>
  </si>
  <si>
    <t>C. MANOUKIAN</t>
  </si>
  <si>
    <t>G. CHEVRANT-BRETON</t>
  </si>
  <si>
    <t>FORMATEURS AFTRAL</t>
  </si>
  <si>
    <t>FORMATEURS CNAM</t>
  </si>
  <si>
    <t>EVALUATIONS (ECF + mémoire)</t>
  </si>
  <si>
    <t>BLOCS DE COMPETENCES</t>
  </si>
  <si>
    <t>ENSEIGNEMENT TRANSVERSAL</t>
  </si>
  <si>
    <t>hr début</t>
  </si>
  <si>
    <t>hr fin</t>
  </si>
  <si>
    <t>vol. hr</t>
  </si>
  <si>
    <t>unique</t>
  </si>
  <si>
    <t>module</t>
  </si>
  <si>
    <r>
      <rPr>
        <u/>
        <sz val="11"/>
        <color theme="3"/>
        <rFont val="Calibri"/>
        <family val="2"/>
        <scheme val="minor"/>
      </rPr>
      <t>Formateur</t>
    </r>
    <r>
      <rPr>
        <sz val="11"/>
        <color theme="3"/>
        <rFont val="Calibri"/>
        <family val="2"/>
        <scheme val="minor"/>
      </rPr>
      <t xml:space="preserve"> :</t>
    </r>
  </si>
  <si>
    <t>clé_date</t>
  </si>
  <si>
    <t>clé_formateur</t>
  </si>
  <si>
    <t>formateur</t>
  </si>
  <si>
    <r>
      <rPr>
        <u/>
        <sz val="11"/>
        <color theme="3"/>
        <rFont val="Calibri"/>
        <family val="2"/>
        <scheme val="minor"/>
      </rPr>
      <t>Module</t>
    </r>
    <r>
      <rPr>
        <sz val="11"/>
        <color theme="3"/>
        <rFont val="Calibri"/>
        <family val="2"/>
        <scheme val="minor"/>
      </rPr>
      <t xml:space="preserve"> :</t>
    </r>
  </si>
  <si>
    <t>M2 - Normes et exploitation techniques</t>
  </si>
  <si>
    <t>M5 - Règlementation nationale et internationale</t>
  </si>
  <si>
    <t>M6 - Planification et optimisation exploitation transport et logistique</t>
  </si>
  <si>
    <t>M7 - Procédures RH et droit social</t>
  </si>
  <si>
    <t>M8 - IRP et politique QHSSE</t>
  </si>
  <si>
    <t>M9 - Les comptes de fin d’exercice</t>
  </si>
  <si>
    <t>M10 - Opérations de fin d’exercice</t>
  </si>
  <si>
    <t>M11 - La fiscalité</t>
  </si>
  <si>
    <t>M12 - KPI et SAV</t>
  </si>
  <si>
    <t>M13 - Accompagnement mémoire</t>
  </si>
  <si>
    <t>clé_module</t>
  </si>
  <si>
    <t>MODULE</t>
  </si>
  <si>
    <t>TABLEAU SYNOPTIQUE TITRE 5 RUTL -</t>
  </si>
  <si>
    <t>Form.</t>
  </si>
  <si>
    <t>Module</t>
  </si>
  <si>
    <t>A. NAYLS</t>
  </si>
  <si>
    <t>S. LEBOURVELEC</t>
  </si>
  <si>
    <t>THIAW</t>
  </si>
  <si>
    <t>COURLY</t>
  </si>
  <si>
    <t>QUILL</t>
  </si>
  <si>
    <t>COURL</t>
  </si>
  <si>
    <t>LABOR</t>
  </si>
  <si>
    <t>ETHEV</t>
  </si>
  <si>
    <t>FERRA</t>
  </si>
  <si>
    <t>CHEVR</t>
  </si>
  <si>
    <t>LEBOU</t>
  </si>
  <si>
    <t>LEVAN</t>
  </si>
  <si>
    <t>abrev_form</t>
  </si>
  <si>
    <t>S. LEBOURVELEC / A. NAYLS</t>
  </si>
  <si>
    <t>MANO</t>
  </si>
  <si>
    <t>soutenances mémoire</t>
  </si>
  <si>
    <t>LEB/NA</t>
  </si>
  <si>
    <t>-</t>
  </si>
  <si>
    <t>CNAM</t>
  </si>
  <si>
    <t>Régis QUILLET</t>
  </si>
  <si>
    <t>Alexandre NAYLS</t>
  </si>
  <si>
    <t>Alexandre THIAW-PO-UNE</t>
  </si>
  <si>
    <t>Stéphane COURLY</t>
  </si>
  <si>
    <t>Robert FERRAND</t>
  </si>
  <si>
    <t>Christian MANOUKIAN</t>
  </si>
  <si>
    <t>Dominique LABORIE</t>
  </si>
  <si>
    <t>Françoise ETHEVE</t>
  </si>
  <si>
    <t>Grégoire CHEVRANT-BRETON</t>
  </si>
  <si>
    <t>Stéphane LEBOURVELEC</t>
  </si>
  <si>
    <t>nouveaux formateurs</t>
  </si>
  <si>
    <t>ETHEVE / LE ROUX</t>
  </si>
  <si>
    <t>V. LE ROUX</t>
  </si>
  <si>
    <t>LEROU</t>
  </si>
  <si>
    <t>xxxxx</t>
  </si>
  <si>
    <t>documents transmis pour agrément OK</t>
  </si>
  <si>
    <t>COURLY / THIAW-PO-UNE</t>
  </si>
  <si>
    <t>francoiseetheve@hotmail.fr</t>
  </si>
  <si>
    <t>gcb974@gmail.com</t>
  </si>
  <si>
    <t>0692.00.40.04</t>
  </si>
  <si>
    <t>0693.13.78.88</t>
  </si>
  <si>
    <t>0692.55.52.05</t>
  </si>
  <si>
    <t>0692.67.11.75</t>
  </si>
  <si>
    <t>Formateurs Cnam</t>
  </si>
  <si>
    <t>email</t>
  </si>
  <si>
    <t>GSM</t>
  </si>
  <si>
    <t>Modules</t>
  </si>
  <si>
    <t>M6, M7, M8</t>
  </si>
  <si>
    <t>M1, M12</t>
  </si>
  <si>
    <t>M9, M10, M11</t>
  </si>
  <si>
    <t xml:space="preserve">alexandre.tpu@gmail.com </t>
  </si>
  <si>
    <t xml:space="preserve">dlaborietci@orange.fr </t>
  </si>
  <si>
    <t>intro septembre</t>
  </si>
  <si>
    <t>MAJ</t>
  </si>
  <si>
    <t>EV1-s1</t>
  </si>
  <si>
    <t>EV2-s1</t>
  </si>
  <si>
    <t>EV3-s1</t>
  </si>
  <si>
    <t>EV4-s1</t>
  </si>
  <si>
    <t>Evaluation BC1 sess. 1</t>
  </si>
  <si>
    <t>Evaluation BC2 sess. 1</t>
  </si>
  <si>
    <t>Evaluation BC3 sess. 1</t>
  </si>
  <si>
    <t>Evaluation BC4 sess. 1</t>
  </si>
  <si>
    <t>C 1.2
C 2.2</t>
  </si>
  <si>
    <t>S2-S3</t>
  </si>
  <si>
    <t>S1-S2
S3</t>
  </si>
  <si>
    <t>Surveillance &amp; Correction</t>
  </si>
  <si>
    <t xml:space="preserve">Régis QUILLET
Stéphane COURLY
Alexandre THIAW-PO-UNE
</t>
  </si>
  <si>
    <t>Régis QUILLET
Stéphane COURLY
Dominique LABORIE</t>
  </si>
  <si>
    <t>Grégoire CHEVRANT-BRETON
Stéphane COURLY</t>
  </si>
  <si>
    <r>
      <rPr>
        <b/>
        <sz val="11"/>
        <color theme="3"/>
        <rFont val="Calibri"/>
        <family val="2"/>
        <scheme val="minor"/>
      </rPr>
      <t xml:space="preserve">BC 4
</t>
    </r>
    <r>
      <rPr>
        <sz val="10"/>
        <color theme="3"/>
        <rFont val="Calibri"/>
        <family val="2"/>
        <scheme val="minor"/>
      </rPr>
      <t>Mesurer et optimiser l'activité de l'unité Transport et Logistique</t>
    </r>
  </si>
  <si>
    <r>
      <rPr>
        <b/>
        <sz val="11"/>
        <color theme="3"/>
        <rFont val="Calibri"/>
        <family val="2"/>
        <scheme val="minor"/>
      </rPr>
      <t xml:space="preserve">BC 3
</t>
    </r>
    <r>
      <rPr>
        <sz val="10"/>
        <color theme="3"/>
        <rFont val="Calibri"/>
        <family val="2"/>
        <scheme val="minor"/>
      </rPr>
      <t>Planifier et piloter l'activité de l'unité Transport et Logistique</t>
    </r>
  </si>
  <si>
    <r>
      <rPr>
        <b/>
        <sz val="11"/>
        <color theme="3"/>
        <rFont val="Calibri"/>
        <family val="2"/>
        <scheme val="minor"/>
      </rPr>
      <t xml:space="preserve">BC 2
</t>
    </r>
    <r>
      <rPr>
        <sz val="10"/>
        <color theme="3"/>
        <rFont val="Calibri"/>
        <family val="2"/>
        <scheme val="minor"/>
      </rPr>
      <t>Mettre en place la structure juridique et financière nécessaire au lancement de l'activité de l'unité de T&amp;L</t>
    </r>
  </si>
  <si>
    <r>
      <rPr>
        <b/>
        <sz val="11"/>
        <color theme="3"/>
        <rFont val="Calibri"/>
        <family val="2"/>
        <scheme val="minor"/>
      </rPr>
      <t xml:space="preserve">BC 1
</t>
    </r>
    <r>
      <rPr>
        <sz val="10"/>
        <color theme="3"/>
        <rFont val="Calibri"/>
        <family val="2"/>
        <scheme val="minor"/>
      </rPr>
      <t>Réaliser une étude de marché et mettre en place un plan de développement commercial</t>
    </r>
  </si>
  <si>
    <t>EV1-s2</t>
  </si>
  <si>
    <t>Evaluation BC1 sess. 2</t>
  </si>
  <si>
    <t>Vincent LE ROUX</t>
  </si>
  <si>
    <t>Régis QUILLET
Françoise ETHEVE
Vincent LE ROUX</t>
  </si>
  <si>
    <t>cours reporté du 16/03</t>
  </si>
  <si>
    <t>cours reporté du 17/03</t>
  </si>
  <si>
    <t>cours reporté du 18/03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</si>
</sst>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[$-40C]mmmmm;@"/>
    <numFmt numFmtId="165" formatCode="d"/>
    <numFmt numFmtId="166" formatCode="h:mm;@"/>
    <numFmt numFmtId="167" formatCode="[$-1200C]dd/mm/yyyy;@"/>
    <numFmt numFmtId="168" formatCode="h:mm"/>
    <numFmt numFmtId="169" formatCode="[h]:mm"/>
    <numFmt numFmtId="170" formatCode="d/m;@"/>
    <numFmt numFmtId="171" formatCode="dd/mm"/>
    <numFmt numFmtId="172" formatCode="d/m/yy;@"/>
    <numFmt numFmtId="173" formatCode="ddd"/>
  </numFmts>
  <fonts count="4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5" tint="0.79976805932798245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color theme="0"/>
      <name val="Calibri Light"/>
      <family val="2"/>
      <scheme val="major"/>
    </font>
    <font>
      <sz val="11"/>
      <color theme="3"/>
      <name val="Calibri"/>
      <family val="2"/>
      <scheme val="minor"/>
    </font>
    <font>
      <sz val="10"/>
      <name val="Verdana"/>
      <family val="2"/>
    </font>
    <font>
      <sz val="8"/>
      <name val="Calibri"/>
      <family val="2"/>
    </font>
    <font>
      <sz val="10"/>
      <color theme="1" tint="0.24994659260841701"/>
      <name val="Calibri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3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3"/>
      <name val="Calibri"/>
      <family val="2"/>
      <scheme val="minor"/>
    </font>
    <font>
      <sz val="11"/>
      <color rgb="FFFFF2CC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 tint="0.2499465926084170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66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4" tint="-0.499984740745262"/>
      </top>
      <bottom style="thick">
        <color theme="4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ck">
        <color theme="4" tint="-0.499984740745262"/>
      </bottom>
      <diagonal/>
    </border>
    <border>
      <left/>
      <right/>
      <top/>
      <bottom style="thin">
        <color theme="3" tint="0.39994506668294322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/>
      <bottom style="double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theme="3" tint="0.399914548173467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5" fillId="0" borderId="0">
      <alignment vertical="center"/>
    </xf>
    <xf numFmtId="0" fontId="5" fillId="0" borderId="4" applyNumberFormat="0" applyFont="0" applyFill="0" applyAlignment="0" applyProtection="0">
      <alignment horizontal="left" vertical="center" indent="2"/>
    </xf>
    <xf numFmtId="165" fontId="6" fillId="0" borderId="0" applyNumberFormat="0" applyFill="0" applyBorder="0">
      <alignment horizontal="left" vertical="center" indent="1"/>
    </xf>
    <xf numFmtId="0" fontId="7" fillId="0" borderId="3" applyNumberFormat="0" applyFont="0" applyFill="0" applyAlignment="0" applyProtection="0">
      <alignment horizontal="center"/>
    </xf>
    <xf numFmtId="0" fontId="8" fillId="2" borderId="5" applyNumberFormat="0" applyProtection="0">
      <alignment horizontal="right" vertical="center" indent="1"/>
    </xf>
    <xf numFmtId="166" fontId="9" fillId="0" borderId="0">
      <alignment horizontal="center" vertical="center"/>
    </xf>
    <xf numFmtId="0" fontId="9" fillId="0" borderId="0">
      <alignment horizontal="center" vertical="center" wrapText="1"/>
    </xf>
    <xf numFmtId="0" fontId="15" fillId="0" borderId="0"/>
    <xf numFmtId="0" fontId="18" fillId="0" borderId="0"/>
    <xf numFmtId="9" fontId="22" fillId="0" borderId="0" applyFont="0" applyFill="0" applyBorder="0" applyAlignment="0" applyProtection="0"/>
  </cellStyleXfs>
  <cellXfs count="233">
    <xf numFmtId="0" fontId="0" fillId="0" borderId="0" xfId="0"/>
    <xf numFmtId="0" fontId="5" fillId="0" borderId="0" xfId="4">
      <alignment vertical="center"/>
    </xf>
    <xf numFmtId="0" fontId="0" fillId="0" borderId="0" xfId="0" applyFont="1" applyAlignment="1">
      <alignment wrapText="1"/>
    </xf>
    <xf numFmtId="165" fontId="6" fillId="0" borderId="0" xfId="6" applyNumberFormat="1" applyFill="1" applyBorder="1">
      <alignment horizontal="left" vertical="center" indent="1"/>
    </xf>
    <xf numFmtId="165" fontId="6" fillId="0" borderId="3" xfId="6" applyNumberFormat="1" applyFill="1" applyBorder="1">
      <alignment horizontal="left" vertical="center" indent="1"/>
    </xf>
    <xf numFmtId="0" fontId="12" fillId="0" borderId="0" xfId="0" applyFont="1" applyAlignment="1">
      <alignment horizontal="right" vertical="center" wrapText="1"/>
    </xf>
    <xf numFmtId="0" fontId="12" fillId="0" borderId="3" xfId="7" applyFont="1" applyAlignment="1">
      <alignment horizontal="right" vertical="center" wrapText="1"/>
    </xf>
    <xf numFmtId="0" fontId="21" fillId="5" borderId="0" xfId="0" applyFont="1" applyFill="1"/>
    <xf numFmtId="0" fontId="23" fillId="0" borderId="0" xfId="0" applyFont="1" applyAlignment="1">
      <alignment vertical="center"/>
    </xf>
    <xf numFmtId="0" fontId="0" fillId="0" borderId="0" xfId="0" applyAlignment="1">
      <alignment horizontal="center"/>
    </xf>
    <xf numFmtId="169" fontId="0" fillId="0" borderId="0" xfId="0" applyNumberFormat="1"/>
    <xf numFmtId="0" fontId="27" fillId="0" borderId="0" xfId="0" applyFont="1" applyBorder="1"/>
    <xf numFmtId="0" fontId="27" fillId="0" borderId="0" xfId="0" applyFont="1" applyBorder="1" applyAlignment="1">
      <alignment wrapText="1"/>
    </xf>
    <xf numFmtId="0" fontId="27" fillId="0" borderId="0" xfId="0" applyFont="1" applyAlignment="1">
      <alignment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9" fontId="4" fillId="0" borderId="0" xfId="0" applyNumberFormat="1" applyFont="1"/>
    <xf numFmtId="9" fontId="28" fillId="0" borderId="0" xfId="13" applyFont="1"/>
    <xf numFmtId="169" fontId="27" fillId="0" borderId="10" xfId="9" applyNumberFormat="1" applyFont="1" applyFill="1" applyBorder="1" applyAlignment="1">
      <alignment horizontal="center" vertical="center"/>
    </xf>
    <xf numFmtId="0" fontId="27" fillId="0" borderId="10" xfId="0" applyFont="1" applyBorder="1" applyAlignment="1">
      <alignment vertical="center" wrapText="1"/>
    </xf>
    <xf numFmtId="169" fontId="27" fillId="0" borderId="12" xfId="9" applyNumberFormat="1" applyFont="1" applyFill="1" applyBorder="1" applyAlignment="1">
      <alignment horizontal="center" vertical="center"/>
    </xf>
    <xf numFmtId="169" fontId="26" fillId="0" borderId="11" xfId="9" applyNumberFormat="1" applyFont="1" applyFill="1" applyBorder="1" applyAlignment="1">
      <alignment horizontal="center" vertical="center"/>
    </xf>
    <xf numFmtId="0" fontId="29" fillId="8" borderId="10" xfId="0" applyFont="1" applyFill="1" applyBorder="1" applyAlignment="1">
      <alignment horizontal="center" vertical="center" wrapText="1"/>
    </xf>
    <xf numFmtId="169" fontId="27" fillId="9" borderId="10" xfId="9" applyNumberFormat="1" applyFont="1" applyFill="1" applyBorder="1" applyAlignment="1">
      <alignment horizontal="center" vertical="center"/>
    </xf>
    <xf numFmtId="169" fontId="26" fillId="9" borderId="11" xfId="9" applyNumberFormat="1" applyFont="1" applyFill="1" applyBorder="1" applyAlignment="1">
      <alignment horizontal="center" vertical="center"/>
    </xf>
    <xf numFmtId="0" fontId="23" fillId="0" borderId="0" xfId="0" applyFont="1"/>
    <xf numFmtId="164" fontId="4" fillId="0" borderId="1" xfId="2" applyNumberFormat="1" applyFont="1" applyAlignment="1">
      <alignment horizontal="center" vertical="center"/>
    </xf>
    <xf numFmtId="164" fontId="4" fillId="0" borderId="15" xfId="2" applyNumberFormat="1" applyFont="1" applyBorder="1" applyAlignment="1">
      <alignment horizontal="center" vertical="center"/>
    </xf>
    <xf numFmtId="0" fontId="31" fillId="0" borderId="0" xfId="5" applyNumberFormat="1" applyFont="1" applyFill="1" applyBorder="1" applyAlignment="1">
      <alignment horizontal="center" vertical="center"/>
    </xf>
    <xf numFmtId="0" fontId="31" fillId="11" borderId="16" xfId="5" applyNumberFormat="1" applyFont="1" applyFill="1" applyBorder="1" applyAlignment="1">
      <alignment horizontal="center" vertical="center"/>
    </xf>
    <xf numFmtId="0" fontId="21" fillId="10" borderId="0" xfId="0" applyFont="1" applyFill="1"/>
    <xf numFmtId="0" fontId="30" fillId="0" borderId="4" xfId="5" applyNumberFormat="1" applyFont="1" applyAlignment="1">
      <alignment horizontal="center" vertical="center"/>
    </xf>
    <xf numFmtId="0" fontId="12" fillId="0" borderId="0" xfId="0" applyFont="1" applyFill="1"/>
    <xf numFmtId="0" fontId="12" fillId="0" borderId="0" xfId="0" applyFont="1"/>
    <xf numFmtId="0" fontId="12" fillId="0" borderId="0" xfId="7" applyFont="1" applyBorder="1" applyAlignment="1">
      <alignment horizontal="right" vertical="center" wrapText="1"/>
    </xf>
    <xf numFmtId="0" fontId="0" fillId="0" borderId="0" xfId="0" applyFill="1"/>
    <xf numFmtId="170" fontId="32" fillId="0" borderId="0" xfId="7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170" fontId="33" fillId="0" borderId="16" xfId="7" applyNumberFormat="1" applyFont="1" applyFill="1" applyBorder="1" applyAlignment="1">
      <alignment horizontal="left" vertical="center" wrapText="1"/>
    </xf>
    <xf numFmtId="169" fontId="33" fillId="0" borderId="16" xfId="7" applyNumberFormat="1" applyFont="1" applyFill="1" applyBorder="1" applyAlignment="1">
      <alignment horizontal="left" vertical="center" wrapText="1"/>
    </xf>
    <xf numFmtId="170" fontId="34" fillId="0" borderId="16" xfId="7" applyNumberFormat="1" applyFont="1" applyFill="1" applyBorder="1" applyAlignment="1">
      <alignment horizontal="center" vertical="center" wrapText="1"/>
    </xf>
    <xf numFmtId="170" fontId="33" fillId="0" borderId="3" xfId="7" applyNumberFormat="1" applyFont="1" applyFill="1" applyBorder="1" applyAlignment="1">
      <alignment horizontal="left" vertical="center" wrapText="1"/>
    </xf>
    <xf numFmtId="170" fontId="33" fillId="0" borderId="17" xfId="7" applyNumberFormat="1" applyFont="1" applyFill="1" applyBorder="1" applyAlignment="1">
      <alignment horizontal="left" vertical="center" wrapText="1"/>
    </xf>
    <xf numFmtId="169" fontId="33" fillId="0" borderId="17" xfId="7" applyNumberFormat="1" applyFont="1" applyFill="1" applyBorder="1" applyAlignment="1">
      <alignment horizontal="left" vertical="center" wrapText="1"/>
    </xf>
    <xf numFmtId="170" fontId="34" fillId="0" borderId="17" xfId="7" applyNumberFormat="1" applyFont="1" applyFill="1" applyBorder="1" applyAlignment="1">
      <alignment horizontal="center" vertical="center" wrapText="1"/>
    </xf>
    <xf numFmtId="169" fontId="33" fillId="0" borderId="3" xfId="7" applyNumberFormat="1" applyFont="1" applyFill="1" applyBorder="1" applyAlignment="1">
      <alignment horizontal="left" vertical="center" wrapText="1"/>
    </xf>
    <xf numFmtId="170" fontId="34" fillId="0" borderId="3" xfId="7" applyNumberFormat="1" applyFont="1" applyFill="1" applyBorder="1" applyAlignment="1">
      <alignment horizontal="center" vertical="center" wrapText="1"/>
    </xf>
    <xf numFmtId="0" fontId="0" fillId="0" borderId="19" xfId="0" applyBorder="1"/>
    <xf numFmtId="0" fontId="0" fillId="12" borderId="0" xfId="0" applyFill="1"/>
    <xf numFmtId="0" fontId="0" fillId="13" borderId="0" xfId="0" applyFill="1"/>
    <xf numFmtId="0" fontId="9" fillId="0" borderId="0" xfId="10" applyAlignment="1" applyProtection="1">
      <alignment horizontal="left" vertical="center" wrapText="1"/>
      <protection locked="0"/>
    </xf>
    <xf numFmtId="0" fontId="9" fillId="0" borderId="0" xfId="10" applyProtection="1">
      <alignment horizontal="center" vertical="center" wrapText="1"/>
      <protection locked="0"/>
    </xf>
    <xf numFmtId="167" fontId="9" fillId="0" borderId="0" xfId="10" applyNumberFormat="1" applyProtection="1">
      <alignment horizontal="center" vertical="center" wrapText="1"/>
      <protection locked="0"/>
    </xf>
    <xf numFmtId="168" fontId="9" fillId="0" borderId="0" xfId="9" applyNumberFormat="1" applyProtection="1">
      <alignment horizontal="center" vertical="center"/>
      <protection locked="0"/>
    </xf>
    <xf numFmtId="166" fontId="9" fillId="0" borderId="0" xfId="9" applyProtection="1">
      <alignment horizontal="center" vertical="center"/>
      <protection locked="0"/>
    </xf>
    <xf numFmtId="167" fontId="9" fillId="0" borderId="0" xfId="10" applyNumberFormat="1" applyFill="1" applyProtection="1">
      <alignment horizontal="center" vertical="center" wrapText="1"/>
      <protection locked="0"/>
    </xf>
    <xf numFmtId="0" fontId="9" fillId="0" borderId="0" xfId="10" applyFill="1" applyProtection="1">
      <alignment horizontal="center" vertical="center" wrapText="1"/>
      <protection locked="0"/>
    </xf>
    <xf numFmtId="0" fontId="9" fillId="0" borderId="0" xfId="10" applyFill="1" applyAlignment="1" applyProtection="1">
      <alignment horizontal="left" vertical="center" wrapText="1"/>
      <protection locked="0"/>
    </xf>
    <xf numFmtId="168" fontId="9" fillId="0" borderId="0" xfId="9" applyNumberFormat="1" applyFill="1" applyProtection="1">
      <alignment horizontal="center" vertical="center"/>
      <protection locked="0"/>
    </xf>
    <xf numFmtId="166" fontId="9" fillId="0" borderId="0" xfId="9" applyFill="1" applyProtection="1">
      <alignment horizontal="center" vertical="center"/>
      <protection locked="0"/>
    </xf>
    <xf numFmtId="0" fontId="26" fillId="0" borderId="0" xfId="0" applyFont="1" applyFill="1" applyAlignment="1">
      <alignment horizontal="center" vertical="center"/>
    </xf>
    <xf numFmtId="0" fontId="4" fillId="0" borderId="0" xfId="0" applyFont="1" applyFill="1"/>
    <xf numFmtId="0" fontId="26" fillId="0" borderId="29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29" xfId="0" applyFont="1" applyBorder="1" applyAlignment="1">
      <alignment vertical="center"/>
    </xf>
    <xf numFmtId="169" fontId="27" fillId="0" borderId="29" xfId="9" applyNumberFormat="1" applyFont="1" applyFill="1" applyBorder="1" applyAlignment="1">
      <alignment horizontal="right" vertical="center"/>
    </xf>
    <xf numFmtId="169" fontId="27" fillId="0" borderId="29" xfId="0" applyNumberFormat="1" applyFont="1" applyBorder="1" applyAlignment="1">
      <alignment vertical="center"/>
    </xf>
    <xf numFmtId="0" fontId="27" fillId="0" borderId="29" xfId="0" applyFont="1" applyBorder="1" applyAlignment="1">
      <alignment vertical="center" wrapText="1"/>
    </xf>
    <xf numFmtId="0" fontId="26" fillId="0" borderId="29" xfId="0" applyFont="1" applyBorder="1" applyAlignment="1">
      <alignment horizontal="center" vertical="center" wrapText="1"/>
    </xf>
    <xf numFmtId="169" fontId="4" fillId="0" borderId="29" xfId="0" applyNumberFormat="1" applyFont="1" applyBorder="1"/>
    <xf numFmtId="0" fontId="26" fillId="0" borderId="3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0" fillId="0" borderId="0" xfId="0" applyFill="1" applyBorder="1"/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9" borderId="29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4" fillId="14" borderId="0" xfId="0" applyFont="1" applyFill="1"/>
    <xf numFmtId="0" fontId="14" fillId="3" borderId="0" xfId="0" applyFont="1" applyFill="1"/>
    <xf numFmtId="0" fontId="4" fillId="14" borderId="0" xfId="0" applyFont="1" applyFill="1"/>
    <xf numFmtId="0" fontId="4" fillId="14" borderId="36" xfId="0" applyFont="1" applyFill="1" applyBorder="1" applyAlignment="1">
      <alignment horizontal="center" vertical="center"/>
    </xf>
    <xf numFmtId="169" fontId="4" fillId="14" borderId="0" xfId="0" applyNumberFormat="1" applyFont="1" applyFill="1" applyAlignment="1">
      <alignment horizontal="center" vertical="center"/>
    </xf>
    <xf numFmtId="0" fontId="27" fillId="14" borderId="0" xfId="0" applyFont="1" applyFill="1" applyAlignment="1">
      <alignment horizontal="center"/>
    </xf>
    <xf numFmtId="0" fontId="27" fillId="14" borderId="0" xfId="0" applyFont="1" applyFill="1"/>
    <xf numFmtId="173" fontId="27" fillId="14" borderId="0" xfId="0" applyNumberFormat="1" applyFont="1" applyFill="1"/>
    <xf numFmtId="172" fontId="27" fillId="14" borderId="0" xfId="0" applyNumberFormat="1" applyFont="1" applyFill="1" applyAlignment="1">
      <alignment horizontal="right"/>
    </xf>
    <xf numFmtId="168" fontId="27" fillId="14" borderId="0" xfId="0" applyNumberFormat="1" applyFont="1" applyFill="1" applyAlignment="1">
      <alignment horizontal="center"/>
    </xf>
    <xf numFmtId="0" fontId="27" fillId="14" borderId="0" xfId="0" applyFont="1" applyFill="1" applyAlignment="1">
      <alignment horizontal="left"/>
    </xf>
    <xf numFmtId="169" fontId="27" fillId="14" borderId="0" xfId="0" applyNumberFormat="1" applyFont="1" applyFill="1" applyAlignment="1">
      <alignment horizontal="center"/>
    </xf>
    <xf numFmtId="0" fontId="27" fillId="14" borderId="0" xfId="0" applyFont="1" applyFill="1" applyAlignment="1">
      <alignment horizontal="right"/>
    </xf>
    <xf numFmtId="169" fontId="38" fillId="3" borderId="0" xfId="0" applyNumberFormat="1" applyFont="1" applyFill="1" applyAlignment="1">
      <alignment horizontal="center" vertical="center"/>
    </xf>
    <xf numFmtId="0" fontId="38" fillId="3" borderId="0" xfId="0" applyFont="1" applyFill="1"/>
    <xf numFmtId="169" fontId="27" fillId="0" borderId="29" xfId="0" applyNumberFormat="1" applyFont="1" applyBorder="1" applyAlignment="1">
      <alignment horizontal="right" vertical="center"/>
    </xf>
    <xf numFmtId="0" fontId="10" fillId="3" borderId="29" xfId="0" applyFont="1" applyFill="1" applyBorder="1" applyAlignment="1">
      <alignment horizontal="left" vertical="center"/>
    </xf>
    <xf numFmtId="0" fontId="27" fillId="0" borderId="29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4" fillId="3" borderId="0" xfId="0" applyFont="1" applyFill="1" applyAlignment="1">
      <alignment horizontal="right"/>
    </xf>
    <xf numFmtId="0" fontId="31" fillId="11" borderId="16" xfId="5" applyNumberFormat="1" applyFont="1" applyFill="1" applyBorder="1" applyAlignment="1">
      <alignment horizontal="center" vertical="center"/>
    </xf>
    <xf numFmtId="0" fontId="0" fillId="0" borderId="0" xfId="0" applyProtection="1"/>
    <xf numFmtId="0" fontId="25" fillId="0" borderId="5" xfId="8" applyFont="1" applyFill="1" applyAlignment="1" applyProtection="1">
      <alignment vertical="center"/>
    </xf>
    <xf numFmtId="0" fontId="10" fillId="0" borderId="2" xfId="3" applyFont="1" applyAlignment="1" applyProtection="1">
      <alignment horizontal="center" vertical="center"/>
    </xf>
    <xf numFmtId="0" fontId="10" fillId="0" borderId="2" xfId="3" applyFont="1" applyAlignment="1" applyProtection="1">
      <alignment horizontal="center" vertical="center" wrapText="1"/>
    </xf>
    <xf numFmtId="0" fontId="9" fillId="0" borderId="0" xfId="9" applyNumberForma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9" applyNumberFormat="1" applyFill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1" fillId="4" borderId="0" xfId="0" applyFont="1" applyFill="1" applyAlignment="1" applyProtection="1">
      <alignment vertical="center"/>
    </xf>
    <xf numFmtId="0" fontId="11" fillId="4" borderId="0" xfId="0" applyFont="1" applyFill="1" applyAlignment="1" applyProtection="1">
      <alignment horizontal="right" vertical="center"/>
    </xf>
    <xf numFmtId="169" fontId="11" fillId="4" borderId="0" xfId="0" applyNumberFormat="1" applyFont="1" applyFill="1" applyAlignment="1" applyProtection="1">
      <alignment horizontal="center" vertical="center"/>
    </xf>
    <xf numFmtId="169" fontId="9" fillId="0" borderId="0" xfId="9" applyNumberFormat="1" applyProtection="1">
      <alignment horizontal="center" vertical="center"/>
    </xf>
    <xf numFmtId="166" fontId="9" fillId="0" borderId="0" xfId="9" applyAlignment="1" applyProtection="1">
      <alignment horizontal="left" vertical="center"/>
    </xf>
    <xf numFmtId="0" fontId="9" fillId="0" borderId="0" xfId="9" applyNumberFormat="1" applyAlignment="1" applyProtection="1">
      <alignment horizontal="left" vertical="center"/>
    </xf>
    <xf numFmtId="166" fontId="9" fillId="0" borderId="0" xfId="9" applyFill="1" applyAlignment="1" applyProtection="1">
      <alignment horizontal="left" vertical="center"/>
    </xf>
    <xf numFmtId="0" fontId="9" fillId="0" borderId="0" xfId="9" applyNumberFormat="1" applyFill="1" applyAlignment="1" applyProtection="1">
      <alignment horizontal="left" vertical="center"/>
    </xf>
    <xf numFmtId="166" fontId="9" fillId="0" borderId="0" xfId="10" applyNumberFormat="1" applyFill="1" applyAlignment="1" applyProtection="1">
      <alignment horizontal="left" vertical="center" wrapText="1"/>
    </xf>
    <xf numFmtId="0" fontId="9" fillId="0" borderId="0" xfId="10" applyNumberFormat="1" applyFill="1" applyAlignment="1" applyProtection="1">
      <alignment horizontal="left" vertical="center" wrapText="1"/>
    </xf>
    <xf numFmtId="0" fontId="27" fillId="0" borderId="29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171" fontId="4" fillId="0" borderId="0" xfId="0" applyNumberFormat="1" applyFont="1" applyAlignment="1" applyProtection="1">
      <alignment vertical="center"/>
      <protection locked="0"/>
    </xf>
    <xf numFmtId="171" fontId="4" fillId="0" borderId="0" xfId="0" applyNumberFormat="1" applyFont="1" applyAlignment="1" applyProtection="1">
      <alignment horizontal="right" vertical="center"/>
      <protection locked="0"/>
    </xf>
    <xf numFmtId="0" fontId="27" fillId="0" borderId="10" xfId="0" applyFont="1" applyBorder="1" applyAlignment="1" applyProtection="1">
      <alignment vertical="center"/>
      <protection locked="0"/>
    </xf>
    <xf numFmtId="0" fontId="4" fillId="14" borderId="0" xfId="0" applyFont="1" applyFill="1" applyProtection="1">
      <protection locked="0"/>
    </xf>
    <xf numFmtId="0" fontId="0" fillId="0" borderId="23" xfId="0" applyBorder="1" applyProtection="1">
      <protection locked="0"/>
    </xf>
    <xf numFmtId="0" fontId="0" fillId="0" borderId="25" xfId="0" applyBorder="1" applyProtection="1">
      <protection locked="0"/>
    </xf>
    <xf numFmtId="0" fontId="19" fillId="9" borderId="0" xfId="0" applyFont="1" applyFill="1" applyProtection="1"/>
    <xf numFmtId="0" fontId="19" fillId="9" borderId="0" xfId="0" applyFont="1" applyFill="1" applyAlignment="1" applyProtection="1">
      <alignment horizontal="left"/>
    </xf>
    <xf numFmtId="0" fontId="16" fillId="0" borderId="0" xfId="11" applyFont="1" applyProtection="1"/>
    <xf numFmtId="0" fontId="17" fillId="0" borderId="0" xfId="0" applyFont="1" applyProtection="1"/>
    <xf numFmtId="14" fontId="20" fillId="6" borderId="6" xfId="12" applyNumberFormat="1" applyFont="1" applyFill="1" applyBorder="1" applyProtection="1"/>
    <xf numFmtId="14" fontId="20" fillId="6" borderId="7" xfId="12" applyNumberFormat="1" applyFont="1" applyFill="1" applyBorder="1" applyProtection="1"/>
    <xf numFmtId="14" fontId="20" fillId="7" borderId="8" xfId="12" applyNumberFormat="1" applyFont="1" applyFill="1" applyBorder="1" applyProtection="1"/>
    <xf numFmtId="14" fontId="20" fillId="6" borderId="8" xfId="12" applyNumberFormat="1" applyFont="1" applyFill="1" applyBorder="1" applyProtection="1"/>
    <xf numFmtId="14" fontId="20" fillId="6" borderId="9" xfId="12" applyNumberFormat="1" applyFont="1" applyFill="1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22" xfId="0" applyBorder="1" applyProtection="1"/>
    <xf numFmtId="0" fontId="11" fillId="9" borderId="20" xfId="0" applyFont="1" applyFill="1" applyBorder="1" applyProtection="1"/>
    <xf numFmtId="0" fontId="11" fillId="9" borderId="22" xfId="0" applyFont="1" applyFill="1" applyBorder="1" applyProtection="1"/>
    <xf numFmtId="0" fontId="0" fillId="0" borderId="23" xfId="0" applyBorder="1" applyProtection="1"/>
    <xf numFmtId="0" fontId="0" fillId="0" borderId="0" xfId="0" applyBorder="1" applyProtection="1"/>
    <xf numFmtId="0" fontId="0" fillId="0" borderId="24" xfId="0" applyBorder="1" applyProtection="1"/>
    <xf numFmtId="0" fontId="0" fillId="0" borderId="25" xfId="0" applyBorder="1" applyProtection="1"/>
    <xf numFmtId="0" fontId="0" fillId="0" borderId="26" xfId="0" applyBorder="1" applyProtection="1"/>
    <xf numFmtId="0" fontId="0" fillId="0" borderId="27" xfId="0" applyBorder="1" applyProtection="1"/>
    <xf numFmtId="0" fontId="35" fillId="9" borderId="7" xfId="0" applyFont="1" applyFill="1" applyBorder="1" applyAlignment="1" applyProtection="1">
      <alignment horizontal="center" vertical="center"/>
    </xf>
    <xf numFmtId="0" fontId="35" fillId="9" borderId="28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7" xfId="0" applyBorder="1" applyProtection="1"/>
    <xf numFmtId="0" fontId="33" fillId="0" borderId="16" xfId="7" applyNumberFormat="1" applyFont="1" applyFill="1" applyBorder="1" applyAlignment="1">
      <alignment vertical="center" wrapText="1"/>
    </xf>
    <xf numFmtId="0" fontId="33" fillId="0" borderId="17" xfId="7" applyNumberFormat="1" applyFont="1" applyFill="1" applyBorder="1" applyAlignment="1">
      <alignment vertical="center" wrapText="1"/>
    </xf>
    <xf numFmtId="0" fontId="33" fillId="0" borderId="16" xfId="7" applyNumberFormat="1" applyFont="1" applyFill="1" applyBorder="1" applyAlignment="1">
      <alignment vertical="center"/>
    </xf>
    <xf numFmtId="0" fontId="27" fillId="0" borderId="29" xfId="0" applyFont="1" applyFill="1" applyBorder="1" applyAlignment="1" applyProtection="1">
      <alignment vertical="center"/>
      <protection locked="0"/>
    </xf>
    <xf numFmtId="0" fontId="33" fillId="0" borderId="3" xfId="7" applyNumberFormat="1" applyFont="1" applyFill="1" applyBorder="1" applyAlignment="1">
      <alignment vertical="center" wrapText="1"/>
    </xf>
    <xf numFmtId="0" fontId="33" fillId="0" borderId="3" xfId="7" applyNumberFormat="1" applyFont="1" applyFill="1" applyBorder="1" applyAlignment="1">
      <alignment vertical="center"/>
    </xf>
    <xf numFmtId="0" fontId="33" fillId="0" borderId="17" xfId="7" applyNumberFormat="1" applyFont="1" applyFill="1" applyBorder="1" applyAlignment="1">
      <alignment vertical="center"/>
    </xf>
    <xf numFmtId="0" fontId="0" fillId="15" borderId="0" xfId="0" applyFill="1"/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0" fillId="15" borderId="7" xfId="0" applyFont="1" applyFill="1" applyBorder="1" applyAlignment="1">
      <alignment vertical="center"/>
    </xf>
    <xf numFmtId="0" fontId="40" fillId="15" borderId="7" xfId="0" applyFont="1" applyFill="1" applyBorder="1" applyAlignment="1">
      <alignment horizontal="left" vertical="center"/>
    </xf>
    <xf numFmtId="0" fontId="40" fillId="0" borderId="7" xfId="0" applyFont="1" applyBorder="1" applyAlignment="1">
      <alignment vertical="center"/>
    </xf>
    <xf numFmtId="0" fontId="40" fillId="0" borderId="0" xfId="0" applyFont="1"/>
    <xf numFmtId="0" fontId="40" fillId="0" borderId="7" xfId="0" applyFont="1" applyBorder="1" applyAlignment="1">
      <alignment horizontal="left" vertical="center"/>
    </xf>
    <xf numFmtId="166" fontId="9" fillId="0" borderId="0" xfId="9" applyNumberFormat="1" applyFill="1" applyAlignment="1" applyProtection="1">
      <alignment horizontal="left" vertical="center"/>
    </xf>
    <xf numFmtId="0" fontId="43" fillId="0" borderId="0" xfId="0" applyNumberFormat="1" applyFont="1" applyAlignment="1" applyProtection="1">
      <alignment horizontal="center" vertical="center"/>
    </xf>
    <xf numFmtId="0" fontId="12" fillId="0" borderId="0" xfId="0" applyFont="1" applyAlignment="1">
      <alignment horizontal="right" vertical="center"/>
    </xf>
    <xf numFmtId="166" fontId="0" fillId="0" borderId="0" xfId="9" applyFont="1" applyFill="1" applyAlignment="1" applyProtection="1">
      <alignment horizontal="left" vertical="center"/>
    </xf>
    <xf numFmtId="0" fontId="0" fillId="0" borderId="0" xfId="9" applyNumberFormat="1" applyFont="1" applyFill="1" applyAlignment="1" applyProtection="1">
      <alignment horizontal="left" vertical="center"/>
    </xf>
    <xf numFmtId="0" fontId="0" fillId="0" borderId="0" xfId="9" applyNumberFormat="1" applyFont="1" applyProtection="1">
      <alignment horizontal="center" vertical="center"/>
    </xf>
    <xf numFmtId="169" fontId="9" fillId="0" borderId="0" xfId="9" applyNumberFormat="1" applyFill="1" applyProtection="1">
      <alignment horizontal="center" vertical="center"/>
    </xf>
    <xf numFmtId="0" fontId="44" fillId="0" borderId="0" xfId="0" applyNumberFormat="1" applyFont="1" applyAlignment="1" applyProtection="1">
      <alignment horizontal="center" vertical="center"/>
    </xf>
    <xf numFmtId="0" fontId="29" fillId="8" borderId="13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29" fillId="8" borderId="43" xfId="0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/>
    </xf>
    <xf numFmtId="0" fontId="27" fillId="0" borderId="13" xfId="0" applyFont="1" applyBorder="1" applyAlignment="1" applyProtection="1">
      <alignment vertical="center"/>
      <protection locked="0"/>
    </xf>
    <xf numFmtId="0" fontId="27" fillId="0" borderId="13" xfId="0" applyFont="1" applyBorder="1" applyAlignment="1" applyProtection="1">
      <alignment vertical="center" wrapText="1"/>
      <protection locked="0"/>
    </xf>
    <xf numFmtId="0" fontId="27" fillId="0" borderId="13" xfId="0" applyFont="1" applyFill="1" applyBorder="1" applyAlignment="1" applyProtection="1">
      <alignment vertical="center"/>
      <protection locked="0"/>
    </xf>
    <xf numFmtId="0" fontId="2" fillId="0" borderId="0" xfId="2" applyBorder="1" applyAlignment="1" applyProtection="1">
      <alignment horizontal="left" vertical="center" indent="1"/>
    </xf>
    <xf numFmtId="0" fontId="31" fillId="11" borderId="16" xfId="5" applyNumberFormat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0" fontId="13" fillId="3" borderId="3" xfId="1" applyFont="1" applyFill="1" applyBorder="1" applyAlignment="1" applyProtection="1">
      <alignment horizontal="center" vertical="center"/>
      <protection locked="0"/>
    </xf>
    <xf numFmtId="14" fontId="12" fillId="0" borderId="3" xfId="0" applyNumberFormat="1" applyFont="1" applyBorder="1" applyAlignment="1">
      <alignment horizontal="left" vertical="center"/>
    </xf>
    <xf numFmtId="0" fontId="24" fillId="0" borderId="29" xfId="0" applyFont="1" applyBorder="1" applyAlignment="1">
      <alignment horizontal="center" vertical="center" textRotation="180"/>
    </xf>
    <xf numFmtId="169" fontId="27" fillId="0" borderId="29" xfId="0" applyNumberFormat="1" applyFont="1" applyBorder="1" applyAlignment="1">
      <alignment horizontal="right" vertical="center"/>
    </xf>
    <xf numFmtId="0" fontId="10" fillId="3" borderId="29" xfId="0" applyFont="1" applyFill="1" applyBorder="1" applyAlignment="1">
      <alignment horizontal="left" vertical="center"/>
    </xf>
    <xf numFmtId="0" fontId="27" fillId="0" borderId="29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center" vertical="center" textRotation="180" wrapText="1"/>
    </xf>
    <xf numFmtId="0" fontId="27" fillId="0" borderId="33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left" vertical="center" wrapText="1"/>
    </xf>
    <xf numFmtId="0" fontId="27" fillId="0" borderId="35" xfId="0" applyFont="1" applyBorder="1" applyAlignment="1">
      <alignment horizontal="left" vertical="center" wrapText="1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left" vertical="center"/>
    </xf>
    <xf numFmtId="0" fontId="10" fillId="3" borderId="29" xfId="0" applyFont="1" applyFill="1" applyBorder="1" applyAlignment="1">
      <alignment horizontal="center" vertical="center"/>
    </xf>
    <xf numFmtId="169" fontId="10" fillId="3" borderId="29" xfId="0" applyNumberFormat="1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7" fillId="0" borderId="29" xfId="0" applyFont="1" applyBorder="1" applyAlignment="1">
      <alignment horizontal="left" vertical="center"/>
    </xf>
    <xf numFmtId="0" fontId="29" fillId="8" borderId="13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9" borderId="29" xfId="0" applyFont="1" applyFill="1" applyBorder="1" applyAlignment="1">
      <alignment horizontal="left" vertical="center" wrapText="1"/>
    </xf>
    <xf numFmtId="0" fontId="36" fillId="3" borderId="32" xfId="0" applyFont="1" applyFill="1" applyBorder="1" applyAlignment="1">
      <alignment horizontal="center" vertical="center"/>
    </xf>
    <xf numFmtId="171" fontId="4" fillId="0" borderId="18" xfId="0" applyNumberFormat="1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4" fillId="14" borderId="0" xfId="0" applyFont="1" applyFill="1" applyAlignment="1" applyProtection="1">
      <alignment horizontal="left"/>
      <protection locked="0"/>
    </xf>
    <xf numFmtId="0" fontId="0" fillId="16" borderId="7" xfId="0" applyFill="1" applyBorder="1" applyAlignment="1">
      <alignment horizontal="left" wrapText="1"/>
    </xf>
    <xf numFmtId="0" fontId="0" fillId="16" borderId="7" xfId="0" applyFill="1" applyBorder="1" applyAlignment="1">
      <alignment horizontal="left"/>
    </xf>
    <xf numFmtId="0" fontId="0" fillId="16" borderId="7" xfId="0" applyFill="1" applyBorder="1" applyAlignment="1">
      <alignment horizontal="left" vertical="center" wrapText="1"/>
    </xf>
    <xf numFmtId="0" fontId="0" fillId="16" borderId="7" xfId="0" applyFill="1" applyBorder="1" applyAlignment="1">
      <alignment horizontal="left" vertical="center"/>
    </xf>
    <xf numFmtId="0" fontId="11" fillId="16" borderId="7" xfId="0" applyFont="1" applyFill="1" applyBorder="1" applyAlignment="1">
      <alignment horizontal="center" vertical="center"/>
    </xf>
    <xf numFmtId="0" fontId="40" fillId="0" borderId="40" xfId="0" applyFont="1" applyBorder="1" applyAlignment="1">
      <alignment horizontal="left" vertical="center"/>
    </xf>
    <xf numFmtId="0" fontId="40" fillId="0" borderId="42" xfId="0" applyFont="1" applyBorder="1" applyAlignment="1">
      <alignment horizontal="left" vertical="center"/>
    </xf>
    <xf numFmtId="0" fontId="40" fillId="0" borderId="41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</cellXfs>
  <cellStyles count="14">
    <cellStyle name="Alignement du calendrier" xfId="6" xr:uid="{00000000-0005-0000-0000-000000000000}"/>
    <cellStyle name="Bordure inférieure" xfId="7" xr:uid="{00000000-0005-0000-0000-000001000000}"/>
    <cellStyle name="Bordure supérieure" xfId="5" xr:uid="{00000000-0005-0000-0000-000002000000}"/>
    <cellStyle name="Détails_Tableau" xfId="10" xr:uid="{00000000-0005-0000-0000-000003000000}"/>
    <cellStyle name="Étiquette" xfId="4" xr:uid="{00000000-0005-0000-0000-000004000000}"/>
    <cellStyle name="Heure" xfId="9" xr:uid="{00000000-0005-0000-0000-000005000000}"/>
    <cellStyle name="Lien hypertexte" xfId="8" builtinId="8"/>
    <cellStyle name="Normal" xfId="0" builtinId="0"/>
    <cellStyle name="Normal_calendrier_auto_CalendrierMatriciel" xfId="12" xr:uid="{00000000-0005-0000-0000-000008000000}"/>
    <cellStyle name="Normal_CalendrierMatriciel" xfId="11" xr:uid="{00000000-0005-0000-0000-000009000000}"/>
    <cellStyle name="Pourcentage" xfId="13" builtinId="5"/>
    <cellStyle name="Titre" xfId="1" builtinId="15"/>
    <cellStyle name="Titre 1" xfId="2" builtinId="16"/>
    <cellStyle name="Titre 2" xfId="3" builtinId="17"/>
  </cellStyles>
  <dxfs count="107">
    <dxf>
      <font>
        <color theme="2"/>
      </font>
      <fill>
        <patternFill>
          <bgColor theme="2"/>
        </patternFill>
      </fill>
    </dxf>
    <dxf>
      <font>
        <color theme="3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2" tint="-9.9948118533890809E-2"/>
        </patternFill>
      </fill>
    </dxf>
    <dxf>
      <font>
        <color theme="0"/>
      </font>
      <fill>
        <patternFill>
          <bgColor theme="3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4" tint="0.79998168889431442"/>
        </patternFill>
      </fill>
    </dxf>
    <dxf>
      <fill>
        <patternFill>
          <bgColor rgb="FFFF7C80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 patternType="solid">
          <bgColor theme="7" tint="0.79995117038483843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 patternType="solid">
          <bgColor theme="7" tint="0.79995117038483843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ill>
        <patternFill patternType="solid">
          <bgColor theme="7" tint="0.79995117038483843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 patternType="solid">
          <bgColor theme="7" tint="0.79995117038483843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rgb="FFFF7C80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 patternType="solid">
          <bgColor theme="7" tint="0.79995117038483843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 patternType="solid">
          <bgColor theme="7" tint="0.79995117038483843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ill>
        <patternFill patternType="solid">
          <bgColor theme="7" tint="0.79995117038483843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 patternType="solid">
          <bgColor theme="7" tint="0.79995117038483843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rgb="FFFF7C80"/>
        </patternFill>
      </fill>
    </dxf>
    <dxf>
      <font>
        <color theme="0"/>
      </font>
    </dxf>
    <dxf>
      <font>
        <color theme="0" tint="-0.24994659260841701"/>
      </font>
    </dxf>
    <dxf>
      <font>
        <color theme="0" tint="-0.24994659260841701"/>
      </font>
    </dxf>
    <dxf>
      <fill>
        <patternFill patternType="solid">
          <bgColor theme="7" tint="0.79995117038483843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 patternType="solid">
          <bgColor theme="7" tint="0.79995117038483843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ill>
        <patternFill patternType="solid">
          <bgColor theme="7" tint="0.79995117038483843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 patternType="solid">
          <bgColor theme="7" tint="0.79995117038483843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protection locked="1" hidden="0"/>
    </dxf>
    <dxf>
      <numFmt numFmtId="0" formatCode="General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  <protection locked="1" hidden="0"/>
    </dxf>
    <dxf>
      <numFmt numFmtId="166" formatCode="h:mm;@"/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protection locked="0" hidden="0"/>
    </dxf>
    <dxf>
      <protection locked="0" hidden="0"/>
    </dxf>
    <dxf>
      <numFmt numFmtId="169" formatCode="[h]:mm"/>
      <fill>
        <patternFill patternType="none">
          <fgColor indexed="64"/>
          <bgColor indexed="65"/>
        </patternFill>
      </fill>
      <protection locked="1" hidden="0"/>
    </dxf>
    <dxf>
      <numFmt numFmtId="168" formatCode="h:mm"/>
      <protection locked="0" hidden="0"/>
    </dxf>
    <dxf>
      <numFmt numFmtId="168" formatCode="h:mm"/>
      <protection locked="0" hidden="0"/>
    </dxf>
    <dxf>
      <protection locked="0" hidden="0"/>
    </dxf>
    <dxf>
      <numFmt numFmtId="167" formatCode="[$-1200C]dd/mm/yyyy;@"/>
      <protection locked="0" hidden="0"/>
    </dxf>
    <dxf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protection hidden="0"/>
    </dxf>
    <dxf>
      <font>
        <color theme="1" tint="0.34998626667073579"/>
      </font>
      <fill>
        <patternFill patternType="solid">
          <fgColor theme="0" tint="-0.14996795556505021"/>
          <bgColor theme="2" tint="-9.9948118533890809E-2"/>
        </patternFill>
      </fill>
    </dxf>
    <dxf>
      <font>
        <b/>
        <i/>
        <color theme="1" tint="0.34998626667073579"/>
      </font>
      <border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color theme="1" tint="0.34998626667073579"/>
      </font>
      <border diagonalUp="0" diagonalDown="0">
        <left/>
        <right/>
        <top style="medium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b/>
        <i val="0"/>
        <color theme="0"/>
      </font>
      <fill>
        <patternFill>
          <bgColor theme="1" tint="0.24994659260841701"/>
        </patternFill>
      </fill>
      <border>
        <top style="thin">
          <color theme="0"/>
        </top>
        <vertical style="thin">
          <color theme="0"/>
        </vertical>
      </border>
    </dxf>
    <dxf>
      <border>
        <top style="thin">
          <color theme="1" tint="0.34998626667073579"/>
        </top>
        <bottom style="thin">
          <color theme="1" tint="0.34998626667073579"/>
        </bottom>
        <horizontal style="thin">
          <color theme="1" tint="0.34998626667073579"/>
        </horizontal>
      </border>
    </dxf>
    <dxf>
      <font>
        <color theme="1" tint="0.34998626667073579"/>
      </font>
      <fill>
        <patternFill patternType="solid">
          <fgColor theme="0" tint="-0.14996795556505021"/>
          <bgColor theme="2" tint="-9.9948118533890809E-2"/>
        </patternFill>
      </fill>
    </dxf>
    <dxf>
      <font>
        <b/>
        <i/>
        <color theme="1" tint="0.34998626667073579"/>
      </font>
      <border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color theme="1" tint="0.34998626667073579"/>
      </font>
      <border diagonalUp="0" diagonalDown="0">
        <left/>
        <right/>
        <top style="medium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b/>
        <i val="0"/>
        <color theme="0"/>
      </font>
      <fill>
        <patternFill>
          <bgColor theme="1" tint="0.24994659260841701"/>
        </patternFill>
      </fill>
      <border>
        <top style="thin">
          <color theme="0"/>
        </top>
        <vertical style="thin">
          <color theme="0"/>
        </vertical>
      </border>
    </dxf>
    <dxf>
      <border>
        <top style="thin">
          <color theme="1" tint="0.34998626667073579"/>
        </top>
        <bottom style="thin">
          <color theme="1" tint="0.34998626667073579"/>
        </bottom>
        <horizontal style="thin">
          <color theme="1" tint="0.34998626667073579"/>
        </horizontal>
      </border>
    </dxf>
    <dxf>
      <font>
        <color theme="1" tint="0.34998626667073579"/>
      </font>
      <fill>
        <patternFill patternType="solid">
          <fgColor theme="0" tint="-0.14996795556505021"/>
          <bgColor theme="2" tint="-9.9948118533890809E-2"/>
        </patternFill>
      </fill>
    </dxf>
    <dxf>
      <font>
        <b/>
        <i/>
        <color theme="1" tint="0.34998626667073579"/>
      </font>
      <border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color theme="1" tint="0.34998626667073579"/>
      </font>
      <border diagonalUp="0" diagonalDown="0">
        <left/>
        <right/>
        <top style="medium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b/>
        <i val="0"/>
        <color theme="0"/>
      </font>
      <fill>
        <patternFill>
          <bgColor theme="1" tint="0.24994659260841701"/>
        </patternFill>
      </fill>
      <border>
        <top style="thin">
          <color theme="0"/>
        </top>
        <vertical style="thin">
          <color theme="0"/>
        </vertical>
      </border>
    </dxf>
    <dxf>
      <border>
        <top style="thin">
          <color theme="1" tint="0.34998626667073579"/>
        </top>
        <bottom style="thin">
          <color theme="1" tint="0.34998626667073579"/>
        </bottom>
        <horizontal style="thin">
          <color theme="1" tint="0.34998626667073579"/>
        </horizontal>
      </border>
    </dxf>
  </dxfs>
  <tableStyles count="3" defaultTableStyle="TableStyleMedium2" defaultPivotStyle="PivotStyleLight16">
    <tableStyle name="Emploi du temps" pivot="0" count="5" xr9:uid="{00000000-0011-0000-FFFF-FFFF00000000}">
      <tableStyleElement type="wholeTable" dxfId="106"/>
      <tableStyleElement type="headerRow" dxfId="105"/>
      <tableStyleElement type="totalRow" dxfId="104"/>
      <tableStyleElement type="lastColumn" dxfId="103"/>
      <tableStyleElement type="firstRowStripe" dxfId="102"/>
    </tableStyle>
    <tableStyle name="Emploi du temps 2" pivot="0" count="5" xr9:uid="{00000000-0011-0000-FFFF-FFFF01000000}">
      <tableStyleElement type="wholeTable" dxfId="101"/>
      <tableStyleElement type="headerRow" dxfId="100"/>
      <tableStyleElement type="totalRow" dxfId="99"/>
      <tableStyleElement type="lastColumn" dxfId="98"/>
      <tableStyleElement type="firstRowStripe" dxfId="97"/>
    </tableStyle>
    <tableStyle name="Emploi du temps 3" pivot="0" count="5" xr9:uid="{00000000-0011-0000-FFFF-FFFF02000000}">
      <tableStyleElement type="wholeTable" dxfId="96"/>
      <tableStyleElement type="headerRow" dxfId="95"/>
      <tableStyleElement type="totalRow" dxfId="94"/>
      <tableStyleElement type="lastColumn" dxfId="93"/>
      <tableStyleElement type="firstRowStripe" dxfId="92"/>
    </tableStyle>
  </tableStyles>
  <colors>
    <mruColors>
      <color rgb="FFFFCC66"/>
      <color rgb="FFFFF2CC"/>
      <color rgb="FFFF7C80"/>
      <color rgb="FFFF5050"/>
      <color rgb="FFFFFFCC"/>
      <color rgb="FFFFCCCC"/>
      <color rgb="FFFF99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</xdr:colOff>
      <xdr:row>7</xdr:row>
      <xdr:rowOff>264322</xdr:rowOff>
    </xdr:from>
    <xdr:to>
      <xdr:col>12</xdr:col>
      <xdr:colOff>150019</xdr:colOff>
      <xdr:row>8</xdr:row>
      <xdr:rowOff>319090</xdr:rowOff>
    </xdr:to>
    <xdr:cxnSp macro="">
      <xdr:nvCxnSpPr>
        <xdr:cNvPr id="3" name="Connecteur : en angle 2">
          <a:extLst>
            <a:ext uri="{FF2B5EF4-FFF2-40B4-BE49-F238E27FC236}">
              <a16:creationId xmlns:a16="http://schemas.microsoft.com/office/drawing/2014/main" id="{520455DD-8E00-4EB4-B395-7DFC644DEC5B}"/>
            </a:ext>
          </a:extLst>
        </xdr:cNvPr>
        <xdr:cNvCxnSpPr/>
      </xdr:nvCxnSpPr>
      <xdr:spPr>
        <a:xfrm rot="16200000" flipH="1">
          <a:off x="12192002" y="2645573"/>
          <a:ext cx="378618" cy="150016"/>
        </a:xfrm>
        <a:prstGeom prst="bentConnector3">
          <a:avLst>
            <a:gd name="adj1" fmla="val 314"/>
          </a:avLst>
        </a:prstGeom>
        <a:ln>
          <a:solidFill>
            <a:schemeClr val="tx2"/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2383</xdr:colOff>
      <xdr:row>19</xdr:row>
      <xdr:rowOff>180977</xdr:rowOff>
    </xdr:from>
    <xdr:to>
      <xdr:col>12</xdr:col>
      <xdr:colOff>200029</xdr:colOff>
      <xdr:row>28</xdr:row>
      <xdr:rowOff>2</xdr:rowOff>
    </xdr:to>
    <xdr:cxnSp macro="">
      <xdr:nvCxnSpPr>
        <xdr:cNvPr id="12" name="Connecteur : en angle 11">
          <a:extLst>
            <a:ext uri="{FF2B5EF4-FFF2-40B4-BE49-F238E27FC236}">
              <a16:creationId xmlns:a16="http://schemas.microsoft.com/office/drawing/2014/main" id="{3A14B5AF-C2E2-4932-BA99-42E49D625EAB}"/>
            </a:ext>
          </a:extLst>
        </xdr:cNvPr>
        <xdr:cNvCxnSpPr/>
      </xdr:nvCxnSpPr>
      <xdr:spPr>
        <a:xfrm rot="16200000" flipH="1">
          <a:off x="11040668" y="7602142"/>
          <a:ext cx="2733675" cy="197646"/>
        </a:xfrm>
        <a:prstGeom prst="bentConnector3">
          <a:avLst>
            <a:gd name="adj1" fmla="val -174"/>
          </a:avLst>
        </a:prstGeom>
        <a:ln>
          <a:solidFill>
            <a:schemeClr val="tx2"/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21</xdr:col>
      <xdr:colOff>19050</xdr:colOff>
      <xdr:row>2</xdr:row>
      <xdr:rowOff>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4638675" y="419100"/>
          <a:ext cx="6772275" cy="0"/>
        </a:xfrm>
        <a:prstGeom prst="straightConnector1">
          <a:avLst/>
        </a:prstGeom>
        <a:ln w="38100">
          <a:solidFill>
            <a:schemeClr val="tx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ristophe/Dossiers%20Cnam/FORMATIONS%20DIPLOMANTES/TRANSPORTS%20ET%20LOGISTIQUE/RUTL%202022-2023/Planning%20RUTL%2022-23/Calendrier%20pour%20&#233;tudi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v."/>
      <sheetName val="Févr."/>
      <sheetName val="Mars"/>
      <sheetName val="Avr."/>
      <sheetName val="Mai"/>
      <sheetName val="Juin"/>
      <sheetName val="Juil."/>
      <sheetName val="Août"/>
      <sheetName val="Sept."/>
      <sheetName val="Oct."/>
      <sheetName val="Nov."/>
      <sheetName val="Déc."/>
    </sheetNames>
    <sheetDataSet>
      <sheetData sheetId="0">
        <row r="2">
          <cell r="K2">
            <v>2</v>
          </cell>
        </row>
        <row r="8">
          <cell r="K8">
            <v>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eCours" displayName="ListeCours" ref="A2:Q203" totalsRowShown="0" headerRowDxfId="91" dataDxfId="90">
  <autoFilter ref="A2:Q203" xr:uid="{00000000-0009-0000-0100-000001000000}">
    <filterColumn colId="3">
      <filters>
        <filter val="R. QUILLET"/>
        <filter val="S. COURLY"/>
      </filters>
    </filterColumn>
  </autoFilter>
  <sortState xmlns:xlrd2="http://schemas.microsoft.com/office/spreadsheetml/2017/richdata2" ref="A7:Q132">
    <sortCondition ref="C3:C203"/>
    <sortCondition ref="E3:E203"/>
  </sortState>
  <tableColumns count="17">
    <tableColumn id="1" xr3:uid="{00000000-0010-0000-0000-000001000000}" name="MODULE" dataDxfId="89" dataCellStyle="Détails_Tableau"/>
    <tableColumn id="2" xr3:uid="{00000000-0010-0000-0000-000002000000}" name="ID" dataDxfId="88" dataCellStyle="Détails_Tableau"/>
    <tableColumn id="8" xr3:uid="{00000000-0010-0000-0000-000008000000}" name="DATE" dataDxfId="87" dataCellStyle="Détails_Tableau"/>
    <tableColumn id="5" xr3:uid="{00000000-0010-0000-0000-000005000000}" name="FORMATEUR" dataDxfId="86" dataCellStyle="Détails_Tableau"/>
    <tableColumn id="4" xr3:uid="{00000000-0010-0000-0000-000004000000}" name="HEURE DE DÉBUT" dataDxfId="85" dataCellStyle="Heure"/>
    <tableColumn id="6" xr3:uid="{00000000-0010-0000-0000-000006000000}" name="HEURE DE FIN" dataDxfId="84" dataCellStyle="Heure"/>
    <tableColumn id="9" xr3:uid="{00000000-0010-0000-0000-000009000000}" name="VOL. HR" dataDxfId="83" dataCellStyle="Heure">
      <calculatedColumnFormula>IF(ListeCours[[#This Row],[DATE]],ListeCours[[#This Row],[HEURE DE FIN]]-ListeCours[[#This Row],[HEURE DE DÉBUT]],"")</calculatedColumnFormula>
    </tableColumn>
    <tableColumn id="3" xr3:uid="{00000000-0010-0000-0000-000003000000}" name="LIEU" dataDxfId="82" dataCellStyle="Heure"/>
    <tableColumn id="16" xr3:uid="{00000000-0010-0000-0000-000010000000}" name="Observations" dataDxfId="81" dataCellStyle="Heure"/>
    <tableColumn id="14" xr3:uid="{00000000-0010-0000-0000-00000E000000}" name="clé_module" dataDxfId="80" dataCellStyle="Heure">
      <calculatedColumnFormula>IF(ListeCours[[#This Row],[DATE]],A3&amp;"_"&amp;COUNTIF($A$3:A3,A3),"")</calculatedColumnFormula>
    </tableColumn>
    <tableColumn id="10" xr3:uid="{00000000-0010-0000-0000-00000A000000}" name="clé_formateur" dataDxfId="79" dataCellStyle="Heure">
      <calculatedColumnFormula>IF(ListeCours[[#This Row],[DATE]],D3&amp;"_"&amp;COUNTIF($D$3:D3,D3),"")</calculatedColumnFormula>
    </tableColumn>
    <tableColumn id="12" xr3:uid="{00000000-0010-0000-0000-00000C000000}" name="mois" dataDxfId="78" dataCellStyle="Heure">
      <calculatedColumnFormula>IF(ListeCours[[#This Row],[DATE]],MONTH(ListeCours[[#This Row],[DATE]]),"")</calculatedColumnFormula>
    </tableColumn>
    <tableColumn id="11" xr3:uid="{00000000-0010-0000-0000-00000B000000}" name="freq.mois" dataDxfId="77" dataCellStyle="Heure">
      <calculatedColumnFormula>IF(ListeCours[[#This Row],[DATE]],COUNTIF($L$3:L3,L3),"")</calculatedColumnFormula>
    </tableColumn>
    <tableColumn id="15" xr3:uid="{00000000-0010-0000-0000-00000F000000}" name="année" dataDxfId="76" dataCellStyle="Heure">
      <calculatedColumnFormula>IF(ListeCours[[#This Row],[DATE]],YEAR(ListeCours[[#This Row],[DATE]]),"")</calculatedColumnFormula>
    </tableColumn>
    <tableColumn id="13" xr3:uid="{00000000-0010-0000-0000-00000D000000}" name="clé_date" dataDxfId="75" dataCellStyle="Heure">
      <calculatedColumnFormula>IF(ListeCours[[#This Row],[DATE]],CONCATENATE(ListeCours[[#This Row],[mois]],".",ListeCours[[#This Row],[freq.mois]],".",ListeCours[[#This Row],[année]]),"")</calculatedColumnFormula>
    </tableColumn>
    <tableColumn id="17" xr3:uid="{00000000-0010-0000-0000-000011000000}" name="abrev_form" dataDxfId="74" dataCellStyle="Heure">
      <calculatedColumnFormula>IFERROR(VLOOKUP(ListeCours[[#This Row],[FORMATEUR]],tables!$G$20:$H$54,2,0),"")</calculatedColumnFormula>
    </tableColumn>
    <tableColumn id="7" xr3:uid="{00000000-0010-0000-0000-000007000000}" name="UNIQUE" dataDxfId="73">
      <calculatedColumnFormula>IF(ListeCours[[#This Row],[DATE]],ROW()-ROW(ListeCours[[#Headers],[UNIQUE]]),"")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Informations relatives aux cours sur la feuille Emploi du temps. Par exemple, Cours, ID, Jour (de la semaine), Emplacement, Heure de début et Heure de fin."/>
    </ext>
  </extLst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alexandre.tpu@gmail.com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gcb974@gmail.com" TargetMode="External"/><Relationship Id="rId1" Type="http://schemas.openxmlformats.org/officeDocument/2006/relationships/hyperlink" Target="mailto:francoiseetheve@hotmail.fr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dlaborietci@oran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4"/>
  <sheetViews>
    <sheetView workbookViewId="0">
      <selection activeCell="B33" sqref="B33"/>
    </sheetView>
  </sheetViews>
  <sheetFormatPr baseColWidth="10" defaultRowHeight="24" customHeight="1" x14ac:dyDescent="0.25"/>
  <cols>
    <col min="1" max="1" width="43.7109375" style="103" customWidth="1"/>
    <col min="2" max="2" width="14.28515625" style="103" customWidth="1"/>
    <col min="3" max="3" width="14.5703125" style="103" customWidth="1"/>
    <col min="4" max="4" width="26.28515625" style="103" customWidth="1"/>
    <col min="5" max="5" width="13" style="103" bestFit="1" customWidth="1"/>
    <col min="6" max="6" width="16" style="103" bestFit="1" customWidth="1"/>
    <col min="7" max="8" width="16" style="103" customWidth="1"/>
    <col min="9" max="9" width="38.28515625" style="103" customWidth="1"/>
    <col min="10" max="10" width="38.28515625" style="103" hidden="1" customWidth="1"/>
    <col min="11" max="11" width="24" style="103" hidden="1" customWidth="1"/>
    <col min="12" max="12" width="12.28515625" style="103" hidden="1" customWidth="1"/>
    <col min="13" max="13" width="13.140625" style="103" hidden="1" customWidth="1"/>
    <col min="14" max="14" width="11.7109375" style="103" hidden="1" customWidth="1"/>
    <col min="15" max="16" width="16" style="103" hidden="1" customWidth="1"/>
    <col min="17" max="17" width="11.7109375" style="103" bestFit="1" customWidth="1"/>
    <col min="18" max="16384" width="11.42578125" style="103"/>
  </cols>
  <sheetData>
    <row r="1" spans="1:17" ht="24" customHeight="1" x14ac:dyDescent="0.25">
      <c r="A1" s="187" t="s">
        <v>0</v>
      </c>
      <c r="B1" s="187"/>
      <c r="C1" s="187"/>
      <c r="D1" s="187"/>
      <c r="E1" s="187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17" ht="24" customHeight="1" thickBot="1" x14ac:dyDescent="0.3">
      <c r="A2" s="105" t="s">
        <v>306</v>
      </c>
      <c r="B2" s="105" t="s">
        <v>1</v>
      </c>
      <c r="C2" s="105" t="s">
        <v>6</v>
      </c>
      <c r="D2" s="105" t="s">
        <v>7</v>
      </c>
      <c r="E2" s="106" t="s">
        <v>3</v>
      </c>
      <c r="F2" s="106" t="s">
        <v>4</v>
      </c>
      <c r="G2" s="106" t="s">
        <v>8</v>
      </c>
      <c r="H2" s="106" t="s">
        <v>2</v>
      </c>
      <c r="I2" s="106" t="s">
        <v>204</v>
      </c>
      <c r="J2" s="106" t="s">
        <v>305</v>
      </c>
      <c r="K2" s="106" t="s">
        <v>292</v>
      </c>
      <c r="L2" s="106" t="s">
        <v>189</v>
      </c>
      <c r="M2" s="106" t="s">
        <v>190</v>
      </c>
      <c r="N2" s="106" t="s">
        <v>203</v>
      </c>
      <c r="O2" s="106" t="s">
        <v>291</v>
      </c>
      <c r="P2" s="106" t="s">
        <v>322</v>
      </c>
      <c r="Q2" s="105" t="s">
        <v>5</v>
      </c>
    </row>
    <row r="3" spans="1:17" ht="24" hidden="1" customHeight="1" thickTop="1" x14ac:dyDescent="0.25">
      <c r="A3" s="54" t="s">
        <v>82</v>
      </c>
      <c r="B3" s="55" t="s">
        <v>185</v>
      </c>
      <c r="C3" s="56">
        <v>44945</v>
      </c>
      <c r="D3" s="55"/>
      <c r="E3" s="57">
        <v>0.6875</v>
      </c>
      <c r="F3" s="57">
        <v>0.70833333333333337</v>
      </c>
      <c r="G3" s="114">
        <f>IF(ListeCours[[#This Row],[DATE]],ListeCours[[#This Row],[HEURE DE FIN]]-ListeCours[[#This Row],[HEURE DE DÉBUT]],"")</f>
        <v>2.083333333333337E-2</v>
      </c>
      <c r="H3" s="58" t="s">
        <v>92</v>
      </c>
      <c r="I3" s="58" t="s">
        <v>205</v>
      </c>
      <c r="J3" s="115" t="str">
        <f>IF(ListeCours[[#This Row],[DATE]],A3&amp;"_"&amp;COUNTIF($A$3:A3,A3),"")</f>
        <v>Ouverture_1</v>
      </c>
      <c r="K3" s="116" t="str">
        <f>IF(ListeCours[[#This Row],[DATE]],D3&amp;"_"&amp;COUNTIF($D$3:D3,D3),"")</f>
        <v>_0</v>
      </c>
      <c r="L3" s="107">
        <f>IF(ListeCours[[#This Row],[DATE]],MONTH(ListeCours[[#This Row],[DATE]]),"")</f>
        <v>1</v>
      </c>
      <c r="M3" s="107">
        <f>IF(ListeCours[[#This Row],[DATE]],COUNTIF($L$3:L3,L3),"")</f>
        <v>1</v>
      </c>
      <c r="N3" s="107">
        <f>IF(ListeCours[[#This Row],[DATE]],YEAR(ListeCours[[#This Row],[DATE]]),"")</f>
        <v>2023</v>
      </c>
      <c r="O3" s="107" t="str">
        <f>IF(ListeCours[[#This Row],[DATE]],CONCATENATE(ListeCours[[#This Row],[mois]],".",ListeCours[[#This Row],[freq.mois]],".",ListeCours[[#This Row],[année]]),"")</f>
        <v>1.1.2023</v>
      </c>
      <c r="P3" s="107" t="str">
        <f>IFERROR(VLOOKUP(ListeCours[[#This Row],[FORMATEUR]],tables!$G$20:$H$54,2,0),"")</f>
        <v/>
      </c>
      <c r="Q3" s="108">
        <f>IF(ListeCours[[#This Row],[DATE]],ROW()-ROW(ListeCours[[#Headers],[UNIQUE]]),"")</f>
        <v>1</v>
      </c>
    </row>
    <row r="4" spans="1:17" ht="24" hidden="1" customHeight="1" x14ac:dyDescent="0.25">
      <c r="A4" s="54" t="s">
        <v>186</v>
      </c>
      <c r="B4" s="55" t="s">
        <v>219</v>
      </c>
      <c r="C4" s="56">
        <v>44945</v>
      </c>
      <c r="D4" s="55" t="s">
        <v>270</v>
      </c>
      <c r="E4" s="57">
        <v>0.70833333333333337</v>
      </c>
      <c r="F4" s="57">
        <v>0.83333333333333337</v>
      </c>
      <c r="G4" s="114">
        <f>IF(ListeCours[[#This Row],[DATE]],ListeCours[[#This Row],[HEURE DE FIN]]-ListeCours[[#This Row],[HEURE DE DÉBUT]],"")</f>
        <v>0.125</v>
      </c>
      <c r="H4" s="58" t="s">
        <v>92</v>
      </c>
      <c r="I4" s="58"/>
      <c r="J4" s="115" t="str">
        <f>IF(ListeCours[[#This Row],[DATE]],A4&amp;"_"&amp;COUNTIF($A$3:A4,A4),"")</f>
        <v>M1 - Gestion commerciale de l’entreprise_1</v>
      </c>
      <c r="K4" s="116" t="str">
        <f>IF(ListeCours[[#This Row],[DATE]],D4&amp;"_"&amp;COUNTIF($D$3:D4,D4),"")</f>
        <v>A. THIAW-PO-UNE_1</v>
      </c>
      <c r="L4" s="107">
        <f>IF(ListeCours[[#This Row],[DATE]],MONTH(ListeCours[[#This Row],[DATE]]),"")</f>
        <v>1</v>
      </c>
      <c r="M4" s="107">
        <f>IF(ListeCours[[#This Row],[DATE]],COUNTIF($L$3:L4,L4),"")</f>
        <v>2</v>
      </c>
      <c r="N4" s="107">
        <f>IF(ListeCours[[#This Row],[DATE]],YEAR(ListeCours[[#This Row],[DATE]]),"")</f>
        <v>2023</v>
      </c>
      <c r="O4" s="107" t="str">
        <f>IF(ListeCours[[#This Row],[DATE]],CONCATENATE(ListeCours[[#This Row],[mois]],".",ListeCours[[#This Row],[freq.mois]],".",ListeCours[[#This Row],[année]]),"")</f>
        <v>1.2.2023</v>
      </c>
      <c r="P4" s="107" t="str">
        <f>IFERROR(VLOOKUP(ListeCours[[#This Row],[FORMATEUR]],tables!$G$20:$H$54,2,0),"")</f>
        <v>THIAW</v>
      </c>
      <c r="Q4" s="108">
        <f>IF(ListeCours[[#This Row],[DATE]],ROW()-ROW(ListeCours[[#Headers],[UNIQUE]]),"")</f>
        <v>2</v>
      </c>
    </row>
    <row r="5" spans="1:17" ht="24" hidden="1" customHeight="1" x14ac:dyDescent="0.25">
      <c r="A5" s="54" t="s">
        <v>186</v>
      </c>
      <c r="B5" s="55" t="s">
        <v>219</v>
      </c>
      <c r="C5" s="56">
        <v>44946</v>
      </c>
      <c r="D5" s="55" t="s">
        <v>270</v>
      </c>
      <c r="E5" s="57">
        <v>0.66666666666666663</v>
      </c>
      <c r="F5" s="57">
        <v>0.83333333333333337</v>
      </c>
      <c r="G5" s="114">
        <f>IF(ListeCours[[#This Row],[DATE]],ListeCours[[#This Row],[HEURE DE FIN]]-ListeCours[[#This Row],[HEURE DE DÉBUT]],"")</f>
        <v>0.16666666666666674</v>
      </c>
      <c r="H5" s="58" t="s">
        <v>92</v>
      </c>
      <c r="I5" s="58"/>
      <c r="J5" s="115" t="str">
        <f>IF(ListeCours[[#This Row],[DATE]],A5&amp;"_"&amp;COUNTIF($A$3:A5,A5),"")</f>
        <v>M1 - Gestion commerciale de l’entreprise_2</v>
      </c>
      <c r="K5" s="116" t="str">
        <f>IF(ListeCours[[#This Row],[DATE]],D5&amp;"_"&amp;COUNTIF($D$3:D5,D5),"")</f>
        <v>A. THIAW-PO-UNE_2</v>
      </c>
      <c r="L5" s="107">
        <f>IF(ListeCours[[#This Row],[DATE]],MONTH(ListeCours[[#This Row],[DATE]]),"")</f>
        <v>1</v>
      </c>
      <c r="M5" s="107">
        <f>IF(ListeCours[[#This Row],[DATE]],COUNTIF($L$3:L5,L5),"")</f>
        <v>3</v>
      </c>
      <c r="N5" s="107">
        <f>IF(ListeCours[[#This Row],[DATE]],YEAR(ListeCours[[#This Row],[DATE]]),"")</f>
        <v>2023</v>
      </c>
      <c r="O5" s="107" t="str">
        <f>IF(ListeCours[[#This Row],[DATE]],CONCATENATE(ListeCours[[#This Row],[mois]],".",ListeCours[[#This Row],[freq.mois]],".",ListeCours[[#This Row],[année]]),"")</f>
        <v>1.3.2023</v>
      </c>
      <c r="P5" s="107" t="str">
        <f>IFERROR(VLOOKUP(ListeCours[[#This Row],[FORMATEUR]],tables!$G$20:$H$54,2,0),"")</f>
        <v>THIAW</v>
      </c>
      <c r="Q5" s="108">
        <f>IF(ListeCours[[#This Row],[DATE]],ROW()-ROW(ListeCours[[#Headers],[UNIQUE]]),"")</f>
        <v>3</v>
      </c>
    </row>
    <row r="6" spans="1:17" ht="24" hidden="1" customHeight="1" x14ac:dyDescent="0.25">
      <c r="A6" s="54" t="s">
        <v>186</v>
      </c>
      <c r="B6" s="55" t="s">
        <v>219</v>
      </c>
      <c r="C6" s="56">
        <v>44947</v>
      </c>
      <c r="D6" s="55" t="s">
        <v>270</v>
      </c>
      <c r="E6" s="57">
        <v>0.33333333333333331</v>
      </c>
      <c r="F6" s="57">
        <v>0.5</v>
      </c>
      <c r="G6" s="114">
        <f>IF(ListeCours[[#This Row],[DATE]],ListeCours[[#This Row],[HEURE DE FIN]]-ListeCours[[#This Row],[HEURE DE DÉBUT]],"")</f>
        <v>0.16666666666666669</v>
      </c>
      <c r="H6" s="58" t="s">
        <v>92</v>
      </c>
      <c r="I6" s="58"/>
      <c r="J6" s="115" t="str">
        <f>IF(ListeCours[[#This Row],[DATE]],A6&amp;"_"&amp;COUNTIF($A$3:A6,A6),"")</f>
        <v>M1 - Gestion commerciale de l’entreprise_3</v>
      </c>
      <c r="K6" s="116" t="str">
        <f>IF(ListeCours[[#This Row],[DATE]],D6&amp;"_"&amp;COUNTIF($D$3:D6,D6),"")</f>
        <v>A. THIAW-PO-UNE_3</v>
      </c>
      <c r="L6" s="107">
        <f>IF(ListeCours[[#This Row],[DATE]],MONTH(ListeCours[[#This Row],[DATE]]),"")</f>
        <v>1</v>
      </c>
      <c r="M6" s="107">
        <f>IF(ListeCours[[#This Row],[DATE]],COUNTIF($L$3:L6,L6),"")</f>
        <v>4</v>
      </c>
      <c r="N6" s="107">
        <f>IF(ListeCours[[#This Row],[DATE]],YEAR(ListeCours[[#This Row],[DATE]]),"")</f>
        <v>2023</v>
      </c>
      <c r="O6" s="107" t="str">
        <f>IF(ListeCours[[#This Row],[DATE]],CONCATENATE(ListeCours[[#This Row],[mois]],".",ListeCours[[#This Row],[freq.mois]],".",ListeCours[[#This Row],[année]]),"")</f>
        <v>1.4.2023</v>
      </c>
      <c r="P6" s="107" t="str">
        <f>IFERROR(VLOOKUP(ListeCours[[#This Row],[FORMATEUR]],tables!$G$20:$H$54,2,0),"")</f>
        <v>THIAW</v>
      </c>
      <c r="Q6" s="108">
        <f>IF(ListeCours[[#This Row],[DATE]],ROW()-ROW(ListeCours[[#Headers],[UNIQUE]]),"")</f>
        <v>4</v>
      </c>
    </row>
    <row r="7" spans="1:17" ht="24" customHeight="1" thickTop="1" x14ac:dyDescent="0.25">
      <c r="A7" s="61" t="s">
        <v>295</v>
      </c>
      <c r="B7" s="60" t="s">
        <v>222</v>
      </c>
      <c r="C7" s="59">
        <v>44952</v>
      </c>
      <c r="D7" s="60" t="s">
        <v>272</v>
      </c>
      <c r="E7" s="62">
        <v>0.70833333333333337</v>
      </c>
      <c r="F7" s="62">
        <v>0.83333333333333337</v>
      </c>
      <c r="G7" s="114">
        <f>IF(ListeCours[[#This Row],[DATE]],ListeCours[[#This Row],[HEURE DE FIN]]-ListeCours[[#This Row],[HEURE DE DÉBUT]],"")</f>
        <v>0.125</v>
      </c>
      <c r="H7" s="63" t="s">
        <v>92</v>
      </c>
      <c r="I7" s="63"/>
      <c r="J7" s="117" t="str">
        <f>IF(ListeCours[[#This Row],[DATE]],A7&amp;"_"&amp;COUNTIF($A$3:A7,A7),"")</f>
        <v>M2 - Normes et exploitation techniques_1</v>
      </c>
      <c r="K7" s="118" t="str">
        <f>IF(ListeCours[[#This Row],[DATE]],D7&amp;"_"&amp;COUNTIF($D$3:D7,D7),"")</f>
        <v>R. QUILLET_1</v>
      </c>
      <c r="L7" s="109">
        <f>IF(ListeCours[[#This Row],[DATE]],MONTH(ListeCours[[#This Row],[DATE]]),"")</f>
        <v>1</v>
      </c>
      <c r="M7" s="107">
        <f>IF(ListeCours[[#This Row],[DATE]],COUNTIF($L$3:L7,L7),"")</f>
        <v>5</v>
      </c>
      <c r="N7" s="109">
        <f>IF(ListeCours[[#This Row],[DATE]],YEAR(ListeCours[[#This Row],[DATE]]),"")</f>
        <v>2023</v>
      </c>
      <c r="O7" s="109" t="str">
        <f>IF(ListeCours[[#This Row],[DATE]],CONCATENATE(ListeCours[[#This Row],[mois]],".",ListeCours[[#This Row],[freq.mois]],".",ListeCours[[#This Row],[année]]),"")</f>
        <v>1.5.2023</v>
      </c>
      <c r="P7" s="109" t="str">
        <f>IFERROR(VLOOKUP(ListeCours[[#This Row],[FORMATEUR]],tables!$G$20:$H$54,2,0),"")</f>
        <v>QUILL</v>
      </c>
      <c r="Q7" s="110">
        <f>IF(ListeCours[[#This Row],[DATE]],ROW()-ROW(ListeCours[[#Headers],[UNIQUE]]),"")</f>
        <v>5</v>
      </c>
    </row>
    <row r="8" spans="1:17" ht="24" customHeight="1" x14ac:dyDescent="0.25">
      <c r="A8" s="61" t="s">
        <v>295</v>
      </c>
      <c r="B8" s="60" t="s">
        <v>222</v>
      </c>
      <c r="C8" s="59">
        <v>44953</v>
      </c>
      <c r="D8" s="60" t="s">
        <v>272</v>
      </c>
      <c r="E8" s="62">
        <v>0.70833333333333337</v>
      </c>
      <c r="F8" s="62">
        <v>0.83333333333333337</v>
      </c>
      <c r="G8" s="114">
        <f>IF(ListeCours[[#This Row],[DATE]],ListeCours[[#This Row],[HEURE DE FIN]]-ListeCours[[#This Row],[HEURE DE DÉBUT]],"")</f>
        <v>0.125</v>
      </c>
      <c r="H8" s="63" t="s">
        <v>92</v>
      </c>
      <c r="I8" s="63"/>
      <c r="J8" s="117" t="str">
        <f>IF(ListeCours[[#This Row],[DATE]],A8&amp;"_"&amp;COUNTIF($A$3:A8,A8),"")</f>
        <v>M2 - Normes et exploitation techniques_2</v>
      </c>
      <c r="K8" s="118" t="str">
        <f>IF(ListeCours[[#This Row],[DATE]],D8&amp;"_"&amp;COUNTIF($D$3:D8,D8),"")</f>
        <v>R. QUILLET_2</v>
      </c>
      <c r="L8" s="109">
        <f>IF(ListeCours[[#This Row],[DATE]],MONTH(ListeCours[[#This Row],[DATE]]),"")</f>
        <v>1</v>
      </c>
      <c r="M8" s="107">
        <f>IF(ListeCours[[#This Row],[DATE]],COUNTIF($L$3:L8,L8),"")</f>
        <v>6</v>
      </c>
      <c r="N8" s="109">
        <f>IF(ListeCours[[#This Row],[DATE]],YEAR(ListeCours[[#This Row],[DATE]]),"")</f>
        <v>2023</v>
      </c>
      <c r="O8" s="109" t="str">
        <f>IF(ListeCours[[#This Row],[DATE]],CONCATENATE(ListeCours[[#This Row],[mois]],".",ListeCours[[#This Row],[freq.mois]],".",ListeCours[[#This Row],[année]]),"")</f>
        <v>1.6.2023</v>
      </c>
      <c r="P8" s="109" t="str">
        <f>IFERROR(VLOOKUP(ListeCours[[#This Row],[FORMATEUR]],tables!$G$20:$H$54,2,0),"")</f>
        <v>QUILL</v>
      </c>
      <c r="Q8" s="110">
        <f>IF(ListeCours[[#This Row],[DATE]],ROW()-ROW(ListeCours[[#Headers],[UNIQUE]]),"")</f>
        <v>6</v>
      </c>
    </row>
    <row r="9" spans="1:17" ht="24" customHeight="1" x14ac:dyDescent="0.25">
      <c r="A9" s="61" t="s">
        <v>295</v>
      </c>
      <c r="B9" s="60" t="s">
        <v>222</v>
      </c>
      <c r="C9" s="59">
        <v>44954</v>
      </c>
      <c r="D9" s="60" t="s">
        <v>272</v>
      </c>
      <c r="E9" s="62">
        <v>0.33333333333333331</v>
      </c>
      <c r="F9" s="62">
        <v>0.5</v>
      </c>
      <c r="G9" s="114">
        <f>IF(ListeCours[[#This Row],[DATE]],ListeCours[[#This Row],[HEURE DE FIN]]-ListeCours[[#This Row],[HEURE DE DÉBUT]],"")</f>
        <v>0.16666666666666669</v>
      </c>
      <c r="H9" s="63" t="s">
        <v>92</v>
      </c>
      <c r="I9" s="63"/>
      <c r="J9" s="117" t="str">
        <f>IF(ListeCours[[#This Row],[DATE]],A9&amp;"_"&amp;COUNTIF($A$3:A9,A9),"")</f>
        <v>M2 - Normes et exploitation techniques_3</v>
      </c>
      <c r="K9" s="118" t="str">
        <f>IF(ListeCours[[#This Row],[DATE]],D9&amp;"_"&amp;COUNTIF($D$3:D9,D9),"")</f>
        <v>R. QUILLET_3</v>
      </c>
      <c r="L9" s="109">
        <f>IF(ListeCours[[#This Row],[DATE]],MONTH(ListeCours[[#This Row],[DATE]]),"")</f>
        <v>1</v>
      </c>
      <c r="M9" s="107">
        <f>IF(ListeCours[[#This Row],[DATE]],COUNTIF($L$3:L9,L9),"")</f>
        <v>7</v>
      </c>
      <c r="N9" s="109">
        <f>IF(ListeCours[[#This Row],[DATE]],YEAR(ListeCours[[#This Row],[DATE]]),"")</f>
        <v>2023</v>
      </c>
      <c r="O9" s="109" t="str">
        <f>IF(ListeCours[[#This Row],[DATE]],CONCATENATE(ListeCours[[#This Row],[mois]],".",ListeCours[[#This Row],[freq.mois]],".",ListeCours[[#This Row],[année]]),"")</f>
        <v>1.7.2023</v>
      </c>
      <c r="P9" s="109" t="str">
        <f>IFERROR(VLOOKUP(ListeCours[[#This Row],[FORMATEUR]],tables!$G$20:$H$54,2,0),"")</f>
        <v>QUILL</v>
      </c>
      <c r="Q9" s="110">
        <f>IF(ListeCours[[#This Row],[DATE]],ROW()-ROW(ListeCours[[#Headers],[UNIQUE]]),"")</f>
        <v>7</v>
      </c>
    </row>
    <row r="10" spans="1:17" ht="24" hidden="1" customHeight="1" x14ac:dyDescent="0.25">
      <c r="A10" s="61" t="s">
        <v>295</v>
      </c>
      <c r="B10" s="60" t="s">
        <v>223</v>
      </c>
      <c r="C10" s="59">
        <v>44959</v>
      </c>
      <c r="D10" s="60" t="s">
        <v>310</v>
      </c>
      <c r="E10" s="62">
        <v>0.70833333333333337</v>
      </c>
      <c r="F10" s="62">
        <v>0.83333333333333337</v>
      </c>
      <c r="G10" s="114">
        <f>IF(ListeCours[[#This Row],[DATE]],ListeCours[[#This Row],[HEURE DE FIN]]-ListeCours[[#This Row],[HEURE DE DÉBUT]],"")</f>
        <v>0.125</v>
      </c>
      <c r="H10" s="63" t="s">
        <v>92</v>
      </c>
      <c r="I10" s="63"/>
      <c r="J10" s="117" t="str">
        <f>IF(ListeCours[[#This Row],[DATE]],A10&amp;"_"&amp;COUNTIF($A$3:A10,A10),"")</f>
        <v>M2 - Normes et exploitation techniques_4</v>
      </c>
      <c r="K10" s="118" t="str">
        <f>IF(ListeCours[[#This Row],[DATE]],D10&amp;"_"&amp;COUNTIF($D$3:D10,D10),"")</f>
        <v>A. NAYLS_1</v>
      </c>
      <c r="L10" s="109">
        <f>IF(ListeCours[[#This Row],[DATE]],MONTH(ListeCours[[#This Row],[DATE]]),"")</f>
        <v>2</v>
      </c>
      <c r="M10" s="107">
        <f>IF(ListeCours[[#This Row],[DATE]],COUNTIF($L$3:L10,L10),"")</f>
        <v>1</v>
      </c>
      <c r="N10" s="109">
        <f>IF(ListeCours[[#This Row],[DATE]],YEAR(ListeCours[[#This Row],[DATE]]),"")</f>
        <v>2023</v>
      </c>
      <c r="O10" s="109" t="str">
        <f>IF(ListeCours[[#This Row],[DATE]],CONCATENATE(ListeCours[[#This Row],[mois]],".",ListeCours[[#This Row],[freq.mois]],".",ListeCours[[#This Row],[année]]),"")</f>
        <v>2.1.2023</v>
      </c>
      <c r="P10" s="109" t="str">
        <f>IFERROR(VLOOKUP(ListeCours[[#This Row],[FORMATEUR]],tables!$G$20:$H$54,2,0),"")</f>
        <v>NAYLS</v>
      </c>
      <c r="Q10" s="110">
        <f>IF(ListeCours[[#This Row],[DATE]],ROW()-ROW(ListeCours[[#Headers],[UNIQUE]]),"")</f>
        <v>8</v>
      </c>
    </row>
    <row r="11" spans="1:17" ht="24" hidden="1" customHeight="1" x14ac:dyDescent="0.25">
      <c r="A11" s="61" t="s">
        <v>295</v>
      </c>
      <c r="B11" s="60" t="s">
        <v>223</v>
      </c>
      <c r="C11" s="59">
        <v>44960</v>
      </c>
      <c r="D11" s="60" t="s">
        <v>310</v>
      </c>
      <c r="E11" s="62">
        <v>0.66666666666666663</v>
      </c>
      <c r="F11" s="62">
        <v>0.83333333333333337</v>
      </c>
      <c r="G11" s="114">
        <f>IF(ListeCours[[#This Row],[DATE]],ListeCours[[#This Row],[HEURE DE FIN]]-ListeCours[[#This Row],[HEURE DE DÉBUT]],"")</f>
        <v>0.16666666666666674</v>
      </c>
      <c r="H11" s="63" t="s">
        <v>92</v>
      </c>
      <c r="I11" s="63"/>
      <c r="J11" s="117" t="str">
        <f>IF(ListeCours[[#This Row],[DATE]],A11&amp;"_"&amp;COUNTIF($A$3:A11,A11),"")</f>
        <v>M2 - Normes et exploitation techniques_5</v>
      </c>
      <c r="K11" s="118" t="str">
        <f>IF(ListeCours[[#This Row],[DATE]],D11&amp;"_"&amp;COUNTIF($D$3:D11,D11),"")</f>
        <v>A. NAYLS_2</v>
      </c>
      <c r="L11" s="109">
        <f>IF(ListeCours[[#This Row],[DATE]],MONTH(ListeCours[[#This Row],[DATE]]),"")</f>
        <v>2</v>
      </c>
      <c r="M11" s="107">
        <f>IF(ListeCours[[#This Row],[DATE]],COUNTIF($L$3:L11,L11),"")</f>
        <v>2</v>
      </c>
      <c r="N11" s="109">
        <f>IF(ListeCours[[#This Row],[DATE]],YEAR(ListeCours[[#This Row],[DATE]]),"")</f>
        <v>2023</v>
      </c>
      <c r="O11" s="109" t="str">
        <f>IF(ListeCours[[#This Row],[DATE]],CONCATENATE(ListeCours[[#This Row],[mois]],".",ListeCours[[#This Row],[freq.mois]],".",ListeCours[[#This Row],[année]]),"")</f>
        <v>2.2.2023</v>
      </c>
      <c r="P11" s="109" t="str">
        <f>IFERROR(VLOOKUP(ListeCours[[#This Row],[FORMATEUR]],tables!$G$20:$H$54,2,0),"")</f>
        <v>NAYLS</v>
      </c>
      <c r="Q11" s="110">
        <f>IF(ListeCours[[#This Row],[DATE]],ROW()-ROW(ListeCours[[#Headers],[UNIQUE]]),"")</f>
        <v>9</v>
      </c>
    </row>
    <row r="12" spans="1:17" ht="24" hidden="1" customHeight="1" x14ac:dyDescent="0.25">
      <c r="A12" s="61" t="s">
        <v>295</v>
      </c>
      <c r="B12" s="60" t="s">
        <v>223</v>
      </c>
      <c r="C12" s="59">
        <v>44961</v>
      </c>
      <c r="D12" s="60" t="s">
        <v>310</v>
      </c>
      <c r="E12" s="62">
        <v>0.33333333333333331</v>
      </c>
      <c r="F12" s="62">
        <v>0.5</v>
      </c>
      <c r="G12" s="114">
        <f>IF(ListeCours[[#This Row],[DATE]],ListeCours[[#This Row],[HEURE DE FIN]]-ListeCours[[#This Row],[HEURE DE DÉBUT]],"")</f>
        <v>0.16666666666666669</v>
      </c>
      <c r="H12" s="63" t="s">
        <v>92</v>
      </c>
      <c r="I12" s="63"/>
      <c r="J12" s="117" t="str">
        <f>IF(ListeCours[[#This Row],[DATE]],A12&amp;"_"&amp;COUNTIF($A$3:A12,A12),"")</f>
        <v>M2 - Normes et exploitation techniques_6</v>
      </c>
      <c r="K12" s="118" t="str">
        <f>IF(ListeCours[[#This Row],[DATE]],D12&amp;"_"&amp;COUNTIF($D$3:D12,D12),"")</f>
        <v>A. NAYLS_3</v>
      </c>
      <c r="L12" s="109">
        <f>IF(ListeCours[[#This Row],[DATE]],MONTH(ListeCours[[#This Row],[DATE]]),"")</f>
        <v>2</v>
      </c>
      <c r="M12" s="107">
        <f>IF(ListeCours[[#This Row],[DATE]],COUNTIF($L$3:L12,L12),"")</f>
        <v>3</v>
      </c>
      <c r="N12" s="109">
        <f>IF(ListeCours[[#This Row],[DATE]],YEAR(ListeCours[[#This Row],[DATE]]),"")</f>
        <v>2023</v>
      </c>
      <c r="O12" s="109" t="str">
        <f>IF(ListeCours[[#This Row],[DATE]],CONCATENATE(ListeCours[[#This Row],[mois]],".",ListeCours[[#This Row],[freq.mois]],".",ListeCours[[#This Row],[année]]),"")</f>
        <v>2.3.2023</v>
      </c>
      <c r="P12" s="109" t="str">
        <f>IFERROR(VLOOKUP(ListeCours[[#This Row],[FORMATEUR]],tables!$G$20:$H$54,2,0),"")</f>
        <v>NAYLS</v>
      </c>
      <c r="Q12" s="110">
        <f>IF(ListeCours[[#This Row],[DATE]],ROW()-ROW(ListeCours[[#Headers],[UNIQUE]]),"")</f>
        <v>10</v>
      </c>
    </row>
    <row r="13" spans="1:17" ht="24" customHeight="1" x14ac:dyDescent="0.25">
      <c r="A13" s="61" t="s">
        <v>187</v>
      </c>
      <c r="B13" s="60" t="s">
        <v>224</v>
      </c>
      <c r="C13" s="59">
        <v>44966</v>
      </c>
      <c r="D13" s="60" t="s">
        <v>273</v>
      </c>
      <c r="E13" s="62">
        <v>0.70833333333333337</v>
      </c>
      <c r="F13" s="62">
        <v>0.83333333333333337</v>
      </c>
      <c r="G13" s="114">
        <f>IF(ListeCours[[#This Row],[DATE]],ListeCours[[#This Row],[HEURE DE FIN]]-ListeCours[[#This Row],[HEURE DE DÉBUT]],"")</f>
        <v>0.125</v>
      </c>
      <c r="H13" s="63" t="s">
        <v>92</v>
      </c>
      <c r="I13" s="63"/>
      <c r="J13" s="117" t="str">
        <f>IF(ListeCours[[#This Row],[DATE]],A13&amp;"_"&amp;COUNTIF($A$3:A13,A13),"")</f>
        <v>M3 - Gestion prévisionnelle des finances de l’entreprise_1</v>
      </c>
      <c r="K13" s="118" t="str">
        <f>IF(ListeCours[[#This Row],[DATE]],D13&amp;"_"&amp;COUNTIF($D$3:D13,D13),"")</f>
        <v>S. COURLY_1</v>
      </c>
      <c r="L13" s="109">
        <f>IF(ListeCours[[#This Row],[DATE]],MONTH(ListeCours[[#This Row],[DATE]]),"")</f>
        <v>2</v>
      </c>
      <c r="M13" s="107">
        <f>IF(ListeCours[[#This Row],[DATE]],COUNTIF($L$3:L13,L13),"")</f>
        <v>4</v>
      </c>
      <c r="N13" s="109">
        <f>IF(ListeCours[[#This Row],[DATE]],YEAR(ListeCours[[#This Row],[DATE]]),"")</f>
        <v>2023</v>
      </c>
      <c r="O13" s="109" t="str">
        <f>IF(ListeCours[[#This Row],[DATE]],CONCATENATE(ListeCours[[#This Row],[mois]],".",ListeCours[[#This Row],[freq.mois]],".",ListeCours[[#This Row],[année]]),"")</f>
        <v>2.4.2023</v>
      </c>
      <c r="P13" s="109" t="str">
        <f>IFERROR(VLOOKUP(ListeCours[[#This Row],[FORMATEUR]],tables!$G$20:$H$54,2,0),"")</f>
        <v>COURL</v>
      </c>
      <c r="Q13" s="110">
        <f>IF(ListeCours[[#This Row],[DATE]],ROW()-ROW(ListeCours[[#Headers],[UNIQUE]]),"")</f>
        <v>11</v>
      </c>
    </row>
    <row r="14" spans="1:17" ht="24" customHeight="1" x14ac:dyDescent="0.25">
      <c r="A14" s="61" t="s">
        <v>187</v>
      </c>
      <c r="B14" s="60" t="s">
        <v>224</v>
      </c>
      <c r="C14" s="59">
        <v>44967</v>
      </c>
      <c r="D14" s="60" t="s">
        <v>273</v>
      </c>
      <c r="E14" s="62">
        <v>0.70833333333333337</v>
      </c>
      <c r="F14" s="62">
        <v>0.83333333333333337</v>
      </c>
      <c r="G14" s="114">
        <f>IF(ListeCours[[#This Row],[DATE]],ListeCours[[#This Row],[HEURE DE FIN]]-ListeCours[[#This Row],[HEURE DE DÉBUT]],"")</f>
        <v>0.125</v>
      </c>
      <c r="H14" s="63" t="s">
        <v>92</v>
      </c>
      <c r="I14" s="63"/>
      <c r="J14" s="117" t="str">
        <f>IF(ListeCours[[#This Row],[DATE]],A14&amp;"_"&amp;COUNTIF($A$3:A14,A14),"")</f>
        <v>M3 - Gestion prévisionnelle des finances de l’entreprise_2</v>
      </c>
      <c r="K14" s="118" t="str">
        <f>IF(ListeCours[[#This Row],[DATE]],D14&amp;"_"&amp;COUNTIF($D$3:D14,D14),"")</f>
        <v>S. COURLY_2</v>
      </c>
      <c r="L14" s="109">
        <f>IF(ListeCours[[#This Row],[DATE]],MONTH(ListeCours[[#This Row],[DATE]]),"")</f>
        <v>2</v>
      </c>
      <c r="M14" s="107">
        <f>IF(ListeCours[[#This Row],[DATE]],COUNTIF($L$3:L14,L14),"")</f>
        <v>5</v>
      </c>
      <c r="N14" s="109">
        <f>IF(ListeCours[[#This Row],[DATE]],YEAR(ListeCours[[#This Row],[DATE]]),"")</f>
        <v>2023</v>
      </c>
      <c r="O14" s="109" t="str">
        <f>IF(ListeCours[[#This Row],[DATE]],CONCATENATE(ListeCours[[#This Row],[mois]],".",ListeCours[[#This Row],[freq.mois]],".",ListeCours[[#This Row],[année]]),"")</f>
        <v>2.5.2023</v>
      </c>
      <c r="P14" s="109" t="str">
        <f>IFERROR(VLOOKUP(ListeCours[[#This Row],[FORMATEUR]],tables!$G$20:$H$54,2,0),"")</f>
        <v>COURL</v>
      </c>
      <c r="Q14" s="110">
        <f>IF(ListeCours[[#This Row],[DATE]],ROW()-ROW(ListeCours[[#Headers],[UNIQUE]]),"")</f>
        <v>12</v>
      </c>
    </row>
    <row r="15" spans="1:17" ht="24" customHeight="1" x14ac:dyDescent="0.25">
      <c r="A15" s="61" t="s">
        <v>187</v>
      </c>
      <c r="B15" s="60" t="s">
        <v>224</v>
      </c>
      <c r="C15" s="59">
        <v>44973</v>
      </c>
      <c r="D15" s="60" t="s">
        <v>273</v>
      </c>
      <c r="E15" s="62">
        <v>0.70833333333333337</v>
      </c>
      <c r="F15" s="62">
        <v>0.83333333333333337</v>
      </c>
      <c r="G15" s="114">
        <f>IF(ListeCours[[#This Row],[DATE]],ListeCours[[#This Row],[HEURE DE FIN]]-ListeCours[[#This Row],[HEURE DE DÉBUT]],"")</f>
        <v>0.125</v>
      </c>
      <c r="H15" s="63" t="s">
        <v>92</v>
      </c>
      <c r="I15" s="63"/>
      <c r="J15" s="117" t="str">
        <f>IF(ListeCours[[#This Row],[DATE]],A15&amp;"_"&amp;COUNTIF($A$3:A15,A15),"")</f>
        <v>M3 - Gestion prévisionnelle des finances de l’entreprise_3</v>
      </c>
      <c r="K15" s="118" t="str">
        <f>IF(ListeCours[[#This Row],[DATE]],D15&amp;"_"&amp;COUNTIF($D$3:D15,D15),"")</f>
        <v>S. COURLY_3</v>
      </c>
      <c r="L15" s="109">
        <f>IF(ListeCours[[#This Row],[DATE]],MONTH(ListeCours[[#This Row],[DATE]]),"")</f>
        <v>2</v>
      </c>
      <c r="M15" s="107">
        <f>IF(ListeCours[[#This Row],[DATE]],COUNTIF($L$3:L15,L15),"")</f>
        <v>6</v>
      </c>
      <c r="N15" s="109">
        <f>IF(ListeCours[[#This Row],[DATE]],YEAR(ListeCours[[#This Row],[DATE]]),"")</f>
        <v>2023</v>
      </c>
      <c r="O15" s="109" t="str">
        <f>IF(ListeCours[[#This Row],[DATE]],CONCATENATE(ListeCours[[#This Row],[mois]],".",ListeCours[[#This Row],[freq.mois]],".",ListeCours[[#This Row],[année]]),"")</f>
        <v>2.6.2023</v>
      </c>
      <c r="P15" s="109" t="str">
        <f>IFERROR(VLOOKUP(ListeCours[[#This Row],[FORMATEUR]],tables!$G$20:$H$54,2,0),"")</f>
        <v>COURL</v>
      </c>
      <c r="Q15" s="110">
        <f>IF(ListeCours[[#This Row],[DATE]],ROW()-ROW(ListeCours[[#Headers],[UNIQUE]]),"")</f>
        <v>13</v>
      </c>
    </row>
    <row r="16" spans="1:17" ht="24" customHeight="1" x14ac:dyDescent="0.25">
      <c r="A16" s="61" t="s">
        <v>187</v>
      </c>
      <c r="B16" s="60" t="s">
        <v>224</v>
      </c>
      <c r="C16" s="59">
        <v>44974</v>
      </c>
      <c r="D16" s="60" t="s">
        <v>273</v>
      </c>
      <c r="E16" s="62">
        <v>0.70833333333333337</v>
      </c>
      <c r="F16" s="62">
        <v>0.83333333333333337</v>
      </c>
      <c r="G16" s="114">
        <f>IF(ListeCours[[#This Row],[DATE]],ListeCours[[#This Row],[HEURE DE FIN]]-ListeCours[[#This Row],[HEURE DE DÉBUT]],"")</f>
        <v>0.125</v>
      </c>
      <c r="H16" s="63" t="s">
        <v>92</v>
      </c>
      <c r="I16" s="63"/>
      <c r="J16" s="117" t="str">
        <f>IF(ListeCours[[#This Row],[DATE]],A16&amp;"_"&amp;COUNTIF($A$3:A16,A16),"")</f>
        <v>M3 - Gestion prévisionnelle des finances de l’entreprise_4</v>
      </c>
      <c r="K16" s="118" t="str">
        <f>IF(ListeCours[[#This Row],[DATE]],D16&amp;"_"&amp;COUNTIF($D$3:D16,D16),"")</f>
        <v>S. COURLY_4</v>
      </c>
      <c r="L16" s="109">
        <f>IF(ListeCours[[#This Row],[DATE]],MONTH(ListeCours[[#This Row],[DATE]]),"")</f>
        <v>2</v>
      </c>
      <c r="M16" s="107">
        <f>IF(ListeCours[[#This Row],[DATE]],COUNTIF($L$3:L16,L16),"")</f>
        <v>7</v>
      </c>
      <c r="N16" s="109">
        <f>IF(ListeCours[[#This Row],[DATE]],YEAR(ListeCours[[#This Row],[DATE]]),"")</f>
        <v>2023</v>
      </c>
      <c r="O16" s="109" t="str">
        <f>IF(ListeCours[[#This Row],[DATE]],CONCATENATE(ListeCours[[#This Row],[mois]],".",ListeCours[[#This Row],[freq.mois]],".",ListeCours[[#This Row],[année]]),"")</f>
        <v>2.7.2023</v>
      </c>
      <c r="P16" s="109" t="str">
        <f>IFERROR(VLOOKUP(ListeCours[[#This Row],[FORMATEUR]],tables!$G$20:$H$54,2,0),"")</f>
        <v>COURL</v>
      </c>
      <c r="Q16" s="110">
        <f>IF(ListeCours[[#This Row],[DATE]],ROW()-ROW(ListeCours[[#Headers],[UNIQUE]]),"")</f>
        <v>14</v>
      </c>
    </row>
    <row r="17" spans="1:17" ht="24" customHeight="1" x14ac:dyDescent="0.25">
      <c r="A17" s="61" t="s">
        <v>187</v>
      </c>
      <c r="B17" s="60" t="s">
        <v>224</v>
      </c>
      <c r="C17" s="59">
        <v>44977</v>
      </c>
      <c r="D17" s="60" t="s">
        <v>273</v>
      </c>
      <c r="E17" s="62">
        <v>0.70833333333333337</v>
      </c>
      <c r="F17" s="62">
        <v>0.83333333333333337</v>
      </c>
      <c r="G17" s="114">
        <f>IF(ListeCours[[#This Row],[DATE]],ListeCours[[#This Row],[HEURE DE FIN]]-ListeCours[[#This Row],[HEURE DE DÉBUT]],"")</f>
        <v>0.125</v>
      </c>
      <c r="H17" s="63" t="s">
        <v>92</v>
      </c>
      <c r="I17" s="63"/>
      <c r="J17" s="117" t="str">
        <f>IF(ListeCours[[#This Row],[DATE]],A17&amp;"_"&amp;COUNTIF($A$3:A17,A17),"")</f>
        <v>M3 - Gestion prévisionnelle des finances de l’entreprise_5</v>
      </c>
      <c r="K17" s="118" t="str">
        <f>IF(ListeCours[[#This Row],[DATE]],D17&amp;"_"&amp;COUNTIF($D$3:D17,D17),"")</f>
        <v>S. COURLY_5</v>
      </c>
      <c r="L17" s="109">
        <f>IF(ListeCours[[#This Row],[DATE]],MONTH(ListeCours[[#This Row],[DATE]]),"")</f>
        <v>2</v>
      </c>
      <c r="M17" s="107">
        <f>IF(ListeCours[[#This Row],[DATE]],COUNTIF($L$3:L17,L17),"")</f>
        <v>8</v>
      </c>
      <c r="N17" s="109">
        <f>IF(ListeCours[[#This Row],[DATE]],YEAR(ListeCours[[#This Row],[DATE]]),"")</f>
        <v>2023</v>
      </c>
      <c r="O17" s="109" t="str">
        <f>IF(ListeCours[[#This Row],[DATE]],CONCATENATE(ListeCours[[#This Row],[mois]],".",ListeCours[[#This Row],[freq.mois]],".",ListeCours[[#This Row],[année]]),"")</f>
        <v>2.8.2023</v>
      </c>
      <c r="P17" s="109" t="str">
        <f>IFERROR(VLOOKUP(ListeCours[[#This Row],[FORMATEUR]],tables!$G$20:$H$54,2,0),"")</f>
        <v>COURL</v>
      </c>
      <c r="Q17" s="110">
        <f>IF(ListeCours[[#This Row],[DATE]],ROW()-ROW(ListeCours[[#Headers],[UNIQUE]]),"")</f>
        <v>15</v>
      </c>
    </row>
    <row r="18" spans="1:17" ht="24" customHeight="1" x14ac:dyDescent="0.25">
      <c r="A18" s="61" t="s">
        <v>187</v>
      </c>
      <c r="B18" s="60" t="s">
        <v>224</v>
      </c>
      <c r="C18" s="59">
        <v>44980</v>
      </c>
      <c r="D18" s="60" t="s">
        <v>273</v>
      </c>
      <c r="E18" s="62">
        <v>0.70833333333333337</v>
      </c>
      <c r="F18" s="62">
        <v>0.83333333333333337</v>
      </c>
      <c r="G18" s="114">
        <f>IF(ListeCours[[#This Row],[DATE]],ListeCours[[#This Row],[HEURE DE FIN]]-ListeCours[[#This Row],[HEURE DE DÉBUT]],"")</f>
        <v>0.125</v>
      </c>
      <c r="H18" s="63" t="s">
        <v>92</v>
      </c>
      <c r="I18" s="63"/>
      <c r="J18" s="117" t="str">
        <f>IF(ListeCours[[#This Row],[DATE]],A18&amp;"_"&amp;COUNTIF($A$3:A18,A18),"")</f>
        <v>M3 - Gestion prévisionnelle des finances de l’entreprise_6</v>
      </c>
      <c r="K18" s="118" t="str">
        <f>IF(ListeCours[[#This Row],[DATE]],D18&amp;"_"&amp;COUNTIF($D$3:D18,D18),"")</f>
        <v>S. COURLY_6</v>
      </c>
      <c r="L18" s="109">
        <f>IF(ListeCours[[#This Row],[DATE]],MONTH(ListeCours[[#This Row],[DATE]]),"")</f>
        <v>2</v>
      </c>
      <c r="M18" s="107">
        <f>IF(ListeCours[[#This Row],[DATE]],COUNTIF($L$3:L18,L18),"")</f>
        <v>9</v>
      </c>
      <c r="N18" s="109">
        <f>IF(ListeCours[[#This Row],[DATE]],YEAR(ListeCours[[#This Row],[DATE]]),"")</f>
        <v>2023</v>
      </c>
      <c r="O18" s="109" t="str">
        <f>IF(ListeCours[[#This Row],[DATE]],CONCATENATE(ListeCours[[#This Row],[mois]],".",ListeCours[[#This Row],[freq.mois]],".",ListeCours[[#This Row],[année]]),"")</f>
        <v>2.9.2023</v>
      </c>
      <c r="P18" s="109" t="str">
        <f>IFERROR(VLOOKUP(ListeCours[[#This Row],[FORMATEUR]],tables!$G$20:$H$54,2,0),"")</f>
        <v>COURL</v>
      </c>
      <c r="Q18" s="110">
        <f>IF(ListeCours[[#This Row],[DATE]],ROW()-ROW(ListeCours[[#Headers],[UNIQUE]]),"")</f>
        <v>16</v>
      </c>
    </row>
    <row r="19" spans="1:17" ht="24" customHeight="1" x14ac:dyDescent="0.25">
      <c r="A19" s="61" t="s">
        <v>187</v>
      </c>
      <c r="B19" s="60" t="s">
        <v>224</v>
      </c>
      <c r="C19" s="59">
        <v>44981</v>
      </c>
      <c r="D19" s="60" t="s">
        <v>273</v>
      </c>
      <c r="E19" s="62">
        <v>0.70833333333333337</v>
      </c>
      <c r="F19" s="62">
        <v>0.83333333333333337</v>
      </c>
      <c r="G19" s="114">
        <f>IF(ListeCours[[#This Row],[DATE]],ListeCours[[#This Row],[HEURE DE FIN]]-ListeCours[[#This Row],[HEURE DE DÉBUT]],"")</f>
        <v>0.125</v>
      </c>
      <c r="H19" s="63" t="s">
        <v>92</v>
      </c>
      <c r="I19" s="63"/>
      <c r="J19" s="117" t="str">
        <f>IF(ListeCours[[#This Row],[DATE]],A19&amp;"_"&amp;COUNTIF($A$3:A19,A19),"")</f>
        <v>M3 - Gestion prévisionnelle des finances de l’entreprise_7</v>
      </c>
      <c r="K19" s="118" t="str">
        <f>IF(ListeCours[[#This Row],[DATE]],D19&amp;"_"&amp;COUNTIF($D$3:D19,D19),"")</f>
        <v>S. COURLY_7</v>
      </c>
      <c r="L19" s="109">
        <f>IF(ListeCours[[#This Row],[DATE]],MONTH(ListeCours[[#This Row],[DATE]]),"")</f>
        <v>2</v>
      </c>
      <c r="M19" s="107">
        <f>IF(ListeCours[[#This Row],[DATE]],COUNTIF($L$3:L19,L19),"")</f>
        <v>10</v>
      </c>
      <c r="N19" s="109">
        <f>IF(ListeCours[[#This Row],[DATE]],YEAR(ListeCours[[#This Row],[DATE]]),"")</f>
        <v>2023</v>
      </c>
      <c r="O19" s="109" t="str">
        <f>IF(ListeCours[[#This Row],[DATE]],CONCATENATE(ListeCours[[#This Row],[mois]],".",ListeCours[[#This Row],[freq.mois]],".",ListeCours[[#This Row],[année]]),"")</f>
        <v>2.10.2023</v>
      </c>
      <c r="P19" s="109" t="str">
        <f>IFERROR(VLOOKUP(ListeCours[[#This Row],[FORMATEUR]],tables!$G$20:$H$54,2,0),"")</f>
        <v>COURL</v>
      </c>
      <c r="Q19" s="110">
        <f>IF(ListeCours[[#This Row],[DATE]],ROW()-ROW(ListeCours[[#Headers],[UNIQUE]]),"")</f>
        <v>17</v>
      </c>
    </row>
    <row r="20" spans="1:17" ht="24" hidden="1" customHeight="1" x14ac:dyDescent="0.25">
      <c r="A20" s="61" t="s">
        <v>304</v>
      </c>
      <c r="B20" s="60" t="s">
        <v>65</v>
      </c>
      <c r="C20" s="59">
        <v>44982</v>
      </c>
      <c r="D20" s="60" t="s">
        <v>323</v>
      </c>
      <c r="E20" s="57">
        <v>0.33333333333333331</v>
      </c>
      <c r="F20" s="57">
        <v>0.5</v>
      </c>
      <c r="G20" s="114">
        <f>IF(ListeCours[[#This Row],[DATE]],ListeCours[[#This Row],[HEURE DE FIN]]-ListeCours[[#This Row],[HEURE DE DÉBUT]],"")</f>
        <v>0.16666666666666669</v>
      </c>
      <c r="H20" s="63" t="s">
        <v>92</v>
      </c>
      <c r="I20" s="63"/>
      <c r="J20" s="117" t="str">
        <f>IF(ListeCours[[#This Row],[DATE]],A20&amp;"_"&amp;COUNTIF($A$3:A20,A20),"")</f>
        <v>M13 - Accompagnement mémoire_1</v>
      </c>
      <c r="K20" s="118" t="str">
        <f>IF(ListeCours[[#This Row],[DATE]],D20&amp;"_"&amp;COUNTIF($D$3:D20,D20),"")</f>
        <v>S. LEBOURVELEC / A. NAYLS_1</v>
      </c>
      <c r="L20" s="109">
        <f>IF(ListeCours[[#This Row],[DATE]],MONTH(ListeCours[[#This Row],[DATE]]),"")</f>
        <v>2</v>
      </c>
      <c r="M20" s="107">
        <f>IF(ListeCours[[#This Row],[DATE]],COUNTIF($L$3:L20,L20),"")</f>
        <v>11</v>
      </c>
      <c r="N20" s="109">
        <f>IF(ListeCours[[#This Row],[DATE]],YEAR(ListeCours[[#This Row],[DATE]]),"")</f>
        <v>2023</v>
      </c>
      <c r="O20" s="109" t="str">
        <f>IF(ListeCours[[#This Row],[DATE]],CONCATENATE(ListeCours[[#This Row],[mois]],".",ListeCours[[#This Row],[freq.mois]],".",ListeCours[[#This Row],[année]]),"")</f>
        <v>2.11.2023</v>
      </c>
      <c r="P20" s="109" t="str">
        <f>IFERROR(VLOOKUP(ListeCours[[#This Row],[FORMATEUR]],tables!$G$20:$H$54,2,0),"")</f>
        <v>LEB/NA</v>
      </c>
      <c r="Q20" s="110">
        <f>IF(ListeCours[[#This Row],[DATE]],ROW()-ROW(ListeCours[[#Headers],[UNIQUE]]),"")</f>
        <v>18</v>
      </c>
    </row>
    <row r="21" spans="1:17" ht="24" hidden="1" customHeight="1" x14ac:dyDescent="0.25">
      <c r="A21" s="54" t="s">
        <v>186</v>
      </c>
      <c r="B21" s="55" t="s">
        <v>220</v>
      </c>
      <c r="C21" s="56">
        <v>44987</v>
      </c>
      <c r="D21" s="55" t="s">
        <v>270</v>
      </c>
      <c r="E21" s="57">
        <v>0.70833333333333337</v>
      </c>
      <c r="F21" s="57">
        <v>0.83333333333333337</v>
      </c>
      <c r="G21" s="114">
        <f>IF(ListeCours[[#This Row],[DATE]],ListeCours[[#This Row],[HEURE DE FIN]]-ListeCours[[#This Row],[HEURE DE DÉBUT]],"")</f>
        <v>0.125</v>
      </c>
      <c r="H21" s="58" t="s">
        <v>92</v>
      </c>
      <c r="I21" s="58"/>
      <c r="J21" s="115" t="str">
        <f>IF(ListeCours[[#This Row],[DATE]],A21&amp;"_"&amp;COUNTIF($A$3:A21,A21),"")</f>
        <v>M1 - Gestion commerciale de l’entreprise_4</v>
      </c>
      <c r="K21" s="116" t="str">
        <f>IF(ListeCours[[#This Row],[DATE]],D21&amp;"_"&amp;COUNTIF($D$3:D21,D21),"")</f>
        <v>A. THIAW-PO-UNE_4</v>
      </c>
      <c r="L21" s="107">
        <f>IF(ListeCours[[#This Row],[DATE]],MONTH(ListeCours[[#This Row],[DATE]]),"")</f>
        <v>3</v>
      </c>
      <c r="M21" s="107">
        <f>IF(ListeCours[[#This Row],[DATE]],COUNTIF($L$3:L21,L21),"")</f>
        <v>1</v>
      </c>
      <c r="N21" s="107">
        <f>IF(ListeCours[[#This Row],[DATE]],YEAR(ListeCours[[#This Row],[DATE]]),"")</f>
        <v>2023</v>
      </c>
      <c r="O21" s="107" t="str">
        <f>IF(ListeCours[[#This Row],[DATE]],CONCATENATE(ListeCours[[#This Row],[mois]],".",ListeCours[[#This Row],[freq.mois]],".",ListeCours[[#This Row],[année]]),"")</f>
        <v>3.1.2023</v>
      </c>
      <c r="P21" s="107" t="str">
        <f>IFERROR(VLOOKUP(ListeCours[[#This Row],[FORMATEUR]],tables!$G$20:$H$54,2,0),"")</f>
        <v>THIAW</v>
      </c>
      <c r="Q21" s="108">
        <f>IF(ListeCours[[#This Row],[DATE]],ROW()-ROW(ListeCours[[#Headers],[UNIQUE]]),"")</f>
        <v>19</v>
      </c>
    </row>
    <row r="22" spans="1:17" ht="24" hidden="1" customHeight="1" x14ac:dyDescent="0.25">
      <c r="A22" s="54" t="s">
        <v>186</v>
      </c>
      <c r="B22" s="55" t="s">
        <v>220</v>
      </c>
      <c r="C22" s="56">
        <v>44988</v>
      </c>
      <c r="D22" s="55" t="s">
        <v>270</v>
      </c>
      <c r="E22" s="57">
        <v>0.70833333333333337</v>
      </c>
      <c r="F22" s="57">
        <v>0.83333333333333337</v>
      </c>
      <c r="G22" s="114">
        <f>IF(ListeCours[[#This Row],[DATE]],ListeCours[[#This Row],[HEURE DE FIN]]-ListeCours[[#This Row],[HEURE DE DÉBUT]],"")</f>
        <v>0.125</v>
      </c>
      <c r="H22" s="58" t="s">
        <v>92</v>
      </c>
      <c r="I22" s="58"/>
      <c r="J22" s="115" t="str">
        <f>IF(ListeCours[[#This Row],[DATE]],A22&amp;"_"&amp;COUNTIF($A$3:A22,A22),"")</f>
        <v>M1 - Gestion commerciale de l’entreprise_5</v>
      </c>
      <c r="K22" s="116" t="str">
        <f>IF(ListeCours[[#This Row],[DATE]],D22&amp;"_"&amp;COUNTIF($D$3:D22,D22),"")</f>
        <v>A. THIAW-PO-UNE_5</v>
      </c>
      <c r="L22" s="107">
        <f>IF(ListeCours[[#This Row],[DATE]],MONTH(ListeCours[[#This Row],[DATE]]),"")</f>
        <v>3</v>
      </c>
      <c r="M22" s="107">
        <f>IF(ListeCours[[#This Row],[DATE]],COUNTIF($L$3:L22,L22),"")</f>
        <v>2</v>
      </c>
      <c r="N22" s="107">
        <f>IF(ListeCours[[#This Row],[DATE]],YEAR(ListeCours[[#This Row],[DATE]]),"")</f>
        <v>2023</v>
      </c>
      <c r="O22" s="107" t="str">
        <f>IF(ListeCours[[#This Row],[DATE]],CONCATENATE(ListeCours[[#This Row],[mois]],".",ListeCours[[#This Row],[freq.mois]],".",ListeCours[[#This Row],[année]]),"")</f>
        <v>3.2.2023</v>
      </c>
      <c r="P22" s="107" t="str">
        <f>IFERROR(VLOOKUP(ListeCours[[#This Row],[FORMATEUR]],tables!$G$20:$H$54,2,0),"")</f>
        <v>THIAW</v>
      </c>
      <c r="Q22" s="108">
        <f>IF(ListeCours[[#This Row],[DATE]],ROW()-ROW(ListeCours[[#Headers],[UNIQUE]]),"")</f>
        <v>20</v>
      </c>
    </row>
    <row r="23" spans="1:17" ht="24" hidden="1" customHeight="1" x14ac:dyDescent="0.25">
      <c r="A23" s="54" t="s">
        <v>186</v>
      </c>
      <c r="B23" s="55" t="s">
        <v>220</v>
      </c>
      <c r="C23" s="56">
        <v>44989</v>
      </c>
      <c r="D23" s="55" t="s">
        <v>270</v>
      </c>
      <c r="E23" s="57">
        <v>0.33333333333333331</v>
      </c>
      <c r="F23" s="57">
        <v>0.5</v>
      </c>
      <c r="G23" s="114">
        <f>IF(ListeCours[[#This Row],[DATE]],ListeCours[[#This Row],[HEURE DE FIN]]-ListeCours[[#This Row],[HEURE DE DÉBUT]],"")</f>
        <v>0.16666666666666669</v>
      </c>
      <c r="H23" s="58" t="s">
        <v>92</v>
      </c>
      <c r="I23" s="58"/>
      <c r="J23" s="115" t="str">
        <f>IF(ListeCours[[#This Row],[DATE]],A23&amp;"_"&amp;COUNTIF($A$3:A23,A23),"")</f>
        <v>M1 - Gestion commerciale de l’entreprise_6</v>
      </c>
      <c r="K23" s="116" t="str">
        <f>IF(ListeCours[[#This Row],[DATE]],D23&amp;"_"&amp;COUNTIF($D$3:D23,D23),"")</f>
        <v>A. THIAW-PO-UNE_6</v>
      </c>
      <c r="L23" s="107">
        <f>IF(ListeCours[[#This Row],[DATE]],MONTH(ListeCours[[#This Row],[DATE]]),"")</f>
        <v>3</v>
      </c>
      <c r="M23" s="107">
        <f>IF(ListeCours[[#This Row],[DATE]],COUNTIF($L$3:L23,L23),"")</f>
        <v>3</v>
      </c>
      <c r="N23" s="107">
        <f>IF(ListeCours[[#This Row],[DATE]],YEAR(ListeCours[[#This Row],[DATE]]),"")</f>
        <v>2023</v>
      </c>
      <c r="O23" s="107" t="str">
        <f>IF(ListeCours[[#This Row],[DATE]],CONCATENATE(ListeCours[[#This Row],[mois]],".",ListeCours[[#This Row],[freq.mois]],".",ListeCours[[#This Row],[année]]),"")</f>
        <v>3.3.2023</v>
      </c>
      <c r="P23" s="107" t="str">
        <f>IFERROR(VLOOKUP(ListeCours[[#This Row],[FORMATEUR]],tables!$G$20:$H$54,2,0),"")</f>
        <v>THIAW</v>
      </c>
      <c r="Q23" s="110">
        <f>IF(ListeCours[[#This Row],[DATE]],ROW()-ROW(ListeCours[[#Headers],[UNIQUE]]),"")</f>
        <v>21</v>
      </c>
    </row>
    <row r="24" spans="1:17" ht="24" customHeight="1" x14ac:dyDescent="0.25">
      <c r="A24" s="61" t="s">
        <v>187</v>
      </c>
      <c r="B24" s="60" t="s">
        <v>225</v>
      </c>
      <c r="C24" s="59">
        <v>44994</v>
      </c>
      <c r="D24" s="60" t="s">
        <v>273</v>
      </c>
      <c r="E24" s="62">
        <v>0.70833333333333337</v>
      </c>
      <c r="F24" s="62">
        <v>0.83333333333333337</v>
      </c>
      <c r="G24" s="114">
        <f>IF(ListeCours[[#This Row],[DATE]],ListeCours[[#This Row],[HEURE DE FIN]]-ListeCours[[#This Row],[HEURE DE DÉBUT]],"")</f>
        <v>0.125</v>
      </c>
      <c r="H24" s="63" t="s">
        <v>92</v>
      </c>
      <c r="I24" s="63"/>
      <c r="J24" s="117" t="str">
        <f>IF(ListeCours[[#This Row],[DATE]],A24&amp;"_"&amp;COUNTIF($A$3:A24,A24),"")</f>
        <v>M3 - Gestion prévisionnelle des finances de l’entreprise_8</v>
      </c>
      <c r="K24" s="118" t="str">
        <f>IF(ListeCours[[#This Row],[DATE]],D24&amp;"_"&amp;COUNTIF($D$3:D24,D24),"")</f>
        <v>S. COURLY_8</v>
      </c>
      <c r="L24" s="109">
        <f>IF(ListeCours[[#This Row],[DATE]],MONTH(ListeCours[[#This Row],[DATE]]),"")</f>
        <v>3</v>
      </c>
      <c r="M24" s="107">
        <f>IF(ListeCours[[#This Row],[DATE]],COUNTIF($L$3:L24,L24),"")</f>
        <v>4</v>
      </c>
      <c r="N24" s="109">
        <f>IF(ListeCours[[#This Row],[DATE]],YEAR(ListeCours[[#This Row],[DATE]]),"")</f>
        <v>2023</v>
      </c>
      <c r="O24" s="109" t="str">
        <f>IF(ListeCours[[#This Row],[DATE]],CONCATENATE(ListeCours[[#This Row],[mois]],".",ListeCours[[#This Row],[freq.mois]],".",ListeCours[[#This Row],[année]]),"")</f>
        <v>3.4.2023</v>
      </c>
      <c r="P24" s="109" t="str">
        <f>IFERROR(VLOOKUP(ListeCours[[#This Row],[FORMATEUR]],tables!$G$20:$H$54,2,0),"")</f>
        <v>COURL</v>
      </c>
      <c r="Q24" s="110">
        <f>IF(ListeCours[[#This Row],[DATE]],ROW()-ROW(ListeCours[[#Headers],[UNIQUE]]),"")</f>
        <v>22</v>
      </c>
    </row>
    <row r="25" spans="1:17" ht="24" customHeight="1" x14ac:dyDescent="0.25">
      <c r="A25" s="61" t="s">
        <v>187</v>
      </c>
      <c r="B25" s="60" t="s">
        <v>225</v>
      </c>
      <c r="C25" s="59">
        <v>44995</v>
      </c>
      <c r="D25" s="60" t="s">
        <v>273</v>
      </c>
      <c r="E25" s="62">
        <v>0.70833333333333337</v>
      </c>
      <c r="F25" s="62">
        <v>0.83333333333333337</v>
      </c>
      <c r="G25" s="114">
        <f>IF(ListeCours[[#This Row],[DATE]],ListeCours[[#This Row],[HEURE DE FIN]]-ListeCours[[#This Row],[HEURE DE DÉBUT]],"")</f>
        <v>0.125</v>
      </c>
      <c r="H25" s="63" t="s">
        <v>92</v>
      </c>
      <c r="I25" s="63"/>
      <c r="J25" s="117" t="str">
        <f>IF(ListeCours[[#This Row],[DATE]],A25&amp;"_"&amp;COUNTIF($A$3:A25,A25),"")</f>
        <v>M3 - Gestion prévisionnelle des finances de l’entreprise_9</v>
      </c>
      <c r="K25" s="118" t="str">
        <f>IF(ListeCours[[#This Row],[DATE]],D25&amp;"_"&amp;COUNTIF($D$3:D25,D25),"")</f>
        <v>S. COURLY_9</v>
      </c>
      <c r="L25" s="109">
        <f>IF(ListeCours[[#This Row],[DATE]],MONTH(ListeCours[[#This Row],[DATE]]),"")</f>
        <v>3</v>
      </c>
      <c r="M25" s="107">
        <f>IF(ListeCours[[#This Row],[DATE]],COUNTIF($L$3:L25,L25),"")</f>
        <v>5</v>
      </c>
      <c r="N25" s="109">
        <f>IF(ListeCours[[#This Row],[DATE]],YEAR(ListeCours[[#This Row],[DATE]]),"")</f>
        <v>2023</v>
      </c>
      <c r="O25" s="109" t="str">
        <f>IF(ListeCours[[#This Row],[DATE]],CONCATENATE(ListeCours[[#This Row],[mois]],".",ListeCours[[#This Row],[freq.mois]],".",ListeCours[[#This Row],[année]]),"")</f>
        <v>3.5.2023</v>
      </c>
      <c r="P25" s="109" t="str">
        <f>IFERROR(VLOOKUP(ListeCours[[#This Row],[FORMATEUR]],tables!$G$20:$H$54,2,0),"")</f>
        <v>COURL</v>
      </c>
      <c r="Q25" s="110">
        <f>IF(ListeCours[[#This Row],[DATE]],ROW()-ROW(ListeCours[[#Headers],[UNIQUE]]),"")</f>
        <v>23</v>
      </c>
    </row>
    <row r="26" spans="1:17" ht="24" customHeight="1" x14ac:dyDescent="0.25">
      <c r="A26" s="61" t="s">
        <v>296</v>
      </c>
      <c r="B26" s="60" t="s">
        <v>229</v>
      </c>
      <c r="C26" s="59">
        <v>45008</v>
      </c>
      <c r="D26" s="60" t="s">
        <v>272</v>
      </c>
      <c r="E26" s="62">
        <v>0.70833333333333337</v>
      </c>
      <c r="F26" s="62">
        <v>0.83333333333333337</v>
      </c>
      <c r="G26" s="114">
        <f>IF(ListeCours[[#This Row],[DATE]],ListeCours[[#This Row],[HEURE DE FIN]]-ListeCours[[#This Row],[HEURE DE DÉBUT]],"")</f>
        <v>0.125</v>
      </c>
      <c r="H26" s="63" t="s">
        <v>92</v>
      </c>
      <c r="I26" s="63"/>
      <c r="J26" s="117" t="str">
        <f>IF(ListeCours[[#This Row],[DATE]],A26&amp;"_"&amp;COUNTIF($A$3:A26,A26),"")</f>
        <v>M5 - Règlementation nationale et internationale_1</v>
      </c>
      <c r="K26" s="118" t="str">
        <f>IF(ListeCours[[#This Row],[DATE]],D26&amp;"_"&amp;COUNTIF($D$3:D26,D26),"")</f>
        <v>R. QUILLET_4</v>
      </c>
      <c r="L26" s="109">
        <f>IF(ListeCours[[#This Row],[DATE]],MONTH(ListeCours[[#This Row],[DATE]]),"")</f>
        <v>3</v>
      </c>
      <c r="M26" s="107">
        <f>IF(ListeCours[[#This Row],[DATE]],COUNTIF($L$3:L26,L26),"")</f>
        <v>6</v>
      </c>
      <c r="N26" s="109">
        <f>IF(ListeCours[[#This Row],[DATE]],YEAR(ListeCours[[#This Row],[DATE]]),"")</f>
        <v>2023</v>
      </c>
      <c r="O26" s="109" t="str">
        <f>IF(ListeCours[[#This Row],[DATE]],CONCATENATE(ListeCours[[#This Row],[mois]],".",ListeCours[[#This Row],[freq.mois]],".",ListeCours[[#This Row],[année]]),"")</f>
        <v>3.6.2023</v>
      </c>
      <c r="P26" s="109" t="str">
        <f>IFERROR(VLOOKUP(ListeCours[[#This Row],[FORMATEUR]],tables!$G$20:$H$54,2,0),"")</f>
        <v>QUILL</v>
      </c>
      <c r="Q26" s="110">
        <f>IF(ListeCours[[#This Row],[DATE]],ROW()-ROW(ListeCours[[#Headers],[UNIQUE]]),"")</f>
        <v>24</v>
      </c>
    </row>
    <row r="27" spans="1:17" ht="24" customHeight="1" x14ac:dyDescent="0.25">
      <c r="A27" s="61" t="s">
        <v>296</v>
      </c>
      <c r="B27" s="60" t="s">
        <v>229</v>
      </c>
      <c r="C27" s="59">
        <v>45009</v>
      </c>
      <c r="D27" s="60" t="s">
        <v>272</v>
      </c>
      <c r="E27" s="62">
        <v>0.70833333333333337</v>
      </c>
      <c r="F27" s="62">
        <v>0.83333333333333337</v>
      </c>
      <c r="G27" s="114">
        <f>IF(ListeCours[[#This Row],[DATE]],ListeCours[[#This Row],[HEURE DE FIN]]-ListeCours[[#This Row],[HEURE DE DÉBUT]],"")</f>
        <v>0.125</v>
      </c>
      <c r="H27" s="63" t="s">
        <v>92</v>
      </c>
      <c r="I27" s="63"/>
      <c r="J27" s="117" t="str">
        <f>IF(ListeCours[[#This Row],[DATE]],A27&amp;"_"&amp;COUNTIF($A$3:A27,A27),"")</f>
        <v>M5 - Règlementation nationale et internationale_2</v>
      </c>
      <c r="K27" s="118" t="str">
        <f>IF(ListeCours[[#This Row],[DATE]],D27&amp;"_"&amp;COUNTIF($D$3:D27,D27),"")</f>
        <v>R. QUILLET_5</v>
      </c>
      <c r="L27" s="109">
        <f>IF(ListeCours[[#This Row],[DATE]],MONTH(ListeCours[[#This Row],[DATE]]),"")</f>
        <v>3</v>
      </c>
      <c r="M27" s="107">
        <f>IF(ListeCours[[#This Row],[DATE]],COUNTIF($L$3:L27,L27),"")</f>
        <v>7</v>
      </c>
      <c r="N27" s="109">
        <f>IF(ListeCours[[#This Row],[DATE]],YEAR(ListeCours[[#This Row],[DATE]]),"")</f>
        <v>2023</v>
      </c>
      <c r="O27" s="109" t="str">
        <f>IF(ListeCours[[#This Row],[DATE]],CONCATENATE(ListeCours[[#This Row],[mois]],".",ListeCours[[#This Row],[freq.mois]],".",ListeCours[[#This Row],[année]]),"")</f>
        <v>3.7.2023</v>
      </c>
      <c r="P27" s="109" t="str">
        <f>IFERROR(VLOOKUP(ListeCours[[#This Row],[FORMATEUR]],tables!$G$20:$H$54,2,0),"")</f>
        <v>QUILL</v>
      </c>
      <c r="Q27" s="110">
        <f>IF(ListeCours[[#This Row],[DATE]],ROW()-ROW(ListeCours[[#Headers],[UNIQUE]]),"")</f>
        <v>25</v>
      </c>
    </row>
    <row r="28" spans="1:17" ht="24" hidden="1" customHeight="1" x14ac:dyDescent="0.25">
      <c r="A28" s="61" t="s">
        <v>304</v>
      </c>
      <c r="B28" s="60" t="s">
        <v>65</v>
      </c>
      <c r="C28" s="59">
        <v>45010</v>
      </c>
      <c r="D28" s="60" t="s">
        <v>310</v>
      </c>
      <c r="E28" s="57">
        <v>0.33333333333333331</v>
      </c>
      <c r="F28" s="57">
        <v>0.5</v>
      </c>
      <c r="G28" s="114">
        <f>IF(ListeCours[[#This Row],[DATE]],ListeCours[[#This Row],[HEURE DE FIN]]-ListeCours[[#This Row],[HEURE DE DÉBUT]],"")</f>
        <v>0.16666666666666669</v>
      </c>
      <c r="H28" s="63" t="s">
        <v>92</v>
      </c>
      <c r="I28" s="63"/>
      <c r="J28" s="117" t="str">
        <f>IF(ListeCours[[#This Row],[DATE]],A28&amp;"_"&amp;COUNTIF($A$3:A28,A28),"")</f>
        <v>M13 - Accompagnement mémoire_2</v>
      </c>
      <c r="K28" s="118" t="str">
        <f>IF(ListeCours[[#This Row],[DATE]],D28&amp;"_"&amp;COUNTIF($D$3:D28,D28),"")</f>
        <v>A. NAYLS_4</v>
      </c>
      <c r="L28" s="109">
        <f>IF(ListeCours[[#This Row],[DATE]],MONTH(ListeCours[[#This Row],[DATE]]),"")</f>
        <v>3</v>
      </c>
      <c r="M28" s="107">
        <f>IF(ListeCours[[#This Row],[DATE]],COUNTIF($L$3:L28,L28),"")</f>
        <v>8</v>
      </c>
      <c r="N28" s="109">
        <f>IF(ListeCours[[#This Row],[DATE]],YEAR(ListeCours[[#This Row],[DATE]]),"")</f>
        <v>2023</v>
      </c>
      <c r="O28" s="109" t="str">
        <f>IF(ListeCours[[#This Row],[DATE]],CONCATENATE(ListeCours[[#This Row],[mois]],".",ListeCours[[#This Row],[freq.mois]],".",ListeCours[[#This Row],[année]]),"")</f>
        <v>3.8.2023</v>
      </c>
      <c r="P28" s="109" t="str">
        <f>IFERROR(VLOOKUP(ListeCours[[#This Row],[FORMATEUR]],tables!$G$20:$H$54,2,0),"")</f>
        <v>NAYLS</v>
      </c>
      <c r="Q28" s="110">
        <f>IF(ListeCours[[#This Row],[DATE]],ROW()-ROW(ListeCours[[#Headers],[UNIQUE]]),"")</f>
        <v>26</v>
      </c>
    </row>
    <row r="29" spans="1:17" ht="24" customHeight="1" x14ac:dyDescent="0.25">
      <c r="A29" s="61" t="s">
        <v>187</v>
      </c>
      <c r="B29" s="60" t="s">
        <v>225</v>
      </c>
      <c r="C29" s="59">
        <v>45012</v>
      </c>
      <c r="D29" s="60" t="s">
        <v>273</v>
      </c>
      <c r="E29" s="62">
        <v>0.70833333333333337</v>
      </c>
      <c r="F29" s="62">
        <v>0.83333333333333337</v>
      </c>
      <c r="G29" s="114">
        <f>IF(ListeCours[[#This Row],[DATE]],ListeCours[[#This Row],[HEURE DE FIN]]-ListeCours[[#This Row],[HEURE DE DÉBUT]],"")</f>
        <v>0.125</v>
      </c>
      <c r="H29" s="63" t="s">
        <v>92</v>
      </c>
      <c r="I29" s="63" t="s">
        <v>386</v>
      </c>
      <c r="J29" s="117" t="str">
        <f>IF(ListeCours[[#This Row],[DATE]],A29&amp;"_"&amp;COUNTIF($A$3:A29,A29),"")</f>
        <v>M3 - Gestion prévisionnelle des finances de l’entreprise_10</v>
      </c>
      <c r="K29" s="118" t="str">
        <f>IF(ListeCours[[#This Row],[DATE]],D29&amp;"_"&amp;COUNTIF($D$3:D29,D29),"")</f>
        <v>S. COURLY_10</v>
      </c>
      <c r="L29" s="109">
        <f>IF(ListeCours[[#This Row],[DATE]],MONTH(ListeCours[[#This Row],[DATE]]),"")</f>
        <v>3</v>
      </c>
      <c r="M29" s="107">
        <f>IF(ListeCours[[#This Row],[DATE]],COUNTIF($L$3:L29,L29),"")</f>
        <v>9</v>
      </c>
      <c r="N29" s="109">
        <f>IF(ListeCours[[#This Row],[DATE]],YEAR(ListeCours[[#This Row],[DATE]]),"")</f>
        <v>2023</v>
      </c>
      <c r="O29" s="109" t="str">
        <f>IF(ListeCours[[#This Row],[DATE]],CONCATENATE(ListeCours[[#This Row],[mois]],".",ListeCours[[#This Row],[freq.mois]],".",ListeCours[[#This Row],[année]]),"")</f>
        <v>3.9.2023</v>
      </c>
      <c r="P29" s="109" t="str">
        <f>IFERROR(VLOOKUP(ListeCours[[#This Row],[FORMATEUR]],tables!$G$20:$H$54,2,0),"")</f>
        <v>COURL</v>
      </c>
      <c r="Q29" s="110">
        <f>IF(ListeCours[[#This Row],[DATE]],ROW()-ROW(ListeCours[[#Headers],[UNIQUE]]),"")</f>
        <v>27</v>
      </c>
    </row>
    <row r="30" spans="1:17" ht="24" customHeight="1" x14ac:dyDescent="0.25">
      <c r="A30" s="61" t="s">
        <v>187</v>
      </c>
      <c r="B30" s="60" t="s">
        <v>225</v>
      </c>
      <c r="C30" s="59">
        <v>45013</v>
      </c>
      <c r="D30" s="60" t="s">
        <v>273</v>
      </c>
      <c r="E30" s="62">
        <v>0.70833333333333337</v>
      </c>
      <c r="F30" s="62">
        <v>0.83333333333333337</v>
      </c>
      <c r="G30" s="114">
        <f>IF(ListeCours[[#This Row],[DATE]],ListeCours[[#This Row],[HEURE DE FIN]]-ListeCours[[#This Row],[HEURE DE DÉBUT]],"")</f>
        <v>0.125</v>
      </c>
      <c r="H30" s="63" t="s">
        <v>92</v>
      </c>
      <c r="I30" s="63" t="s">
        <v>387</v>
      </c>
      <c r="J30" s="117" t="str">
        <f>IF(ListeCours[[#This Row],[DATE]],A30&amp;"_"&amp;COUNTIF($A$3:A30,A30),"")</f>
        <v>M3 - Gestion prévisionnelle des finances de l’entreprise_11</v>
      </c>
      <c r="K30" s="118" t="str">
        <f>IF(ListeCours[[#This Row],[DATE]],D30&amp;"_"&amp;COUNTIF($D$3:D30,D30),"")</f>
        <v>S. COURLY_11</v>
      </c>
      <c r="L30" s="109">
        <f>IF(ListeCours[[#This Row],[DATE]],MONTH(ListeCours[[#This Row],[DATE]]),"")</f>
        <v>3</v>
      </c>
      <c r="M30" s="107">
        <f>IF(ListeCours[[#This Row],[DATE]],COUNTIF($L$3:L30,L30),"")</f>
        <v>10</v>
      </c>
      <c r="N30" s="109">
        <f>IF(ListeCours[[#This Row],[DATE]],YEAR(ListeCours[[#This Row],[DATE]]),"")</f>
        <v>2023</v>
      </c>
      <c r="O30" s="109" t="str">
        <f>IF(ListeCours[[#This Row],[DATE]],CONCATENATE(ListeCours[[#This Row],[mois]],".",ListeCours[[#This Row],[freq.mois]],".",ListeCours[[#This Row],[année]]),"")</f>
        <v>3.10.2023</v>
      </c>
      <c r="P30" s="109" t="str">
        <f>IFERROR(VLOOKUP(ListeCours[[#This Row],[FORMATEUR]],tables!$G$20:$H$54,2,0),"")</f>
        <v>COURL</v>
      </c>
      <c r="Q30" s="110">
        <f>IF(ListeCours[[#This Row],[DATE]],ROW()-ROW(ListeCours[[#Headers],[UNIQUE]]),"")</f>
        <v>28</v>
      </c>
    </row>
    <row r="31" spans="1:17" ht="24" customHeight="1" x14ac:dyDescent="0.25">
      <c r="A31" s="61" t="s">
        <v>187</v>
      </c>
      <c r="B31" s="60" t="s">
        <v>225</v>
      </c>
      <c r="C31" s="59">
        <v>45015</v>
      </c>
      <c r="D31" s="60" t="s">
        <v>273</v>
      </c>
      <c r="E31" s="62">
        <v>0.70833333333333337</v>
      </c>
      <c r="F31" s="62">
        <v>0.83333333333333337</v>
      </c>
      <c r="G31" s="114">
        <f>IF(ListeCours[[#This Row],[DATE]],ListeCours[[#This Row],[HEURE DE FIN]]-ListeCours[[#This Row],[HEURE DE DÉBUT]],"")</f>
        <v>0.125</v>
      </c>
      <c r="H31" s="63" t="s">
        <v>92</v>
      </c>
      <c r="I31" s="63"/>
      <c r="J31" s="117" t="str">
        <f>IF(ListeCours[[#This Row],[DATE]],A31&amp;"_"&amp;COUNTIF($A$3:A31,A31),"")</f>
        <v>M3 - Gestion prévisionnelle des finances de l’entreprise_12</v>
      </c>
      <c r="K31" s="118" t="str">
        <f>IF(ListeCours[[#This Row],[DATE]],D31&amp;"_"&amp;COUNTIF($D$3:D31,D31),"")</f>
        <v>S. COURLY_12</v>
      </c>
      <c r="L31" s="109">
        <f>IF(ListeCours[[#This Row],[DATE]],MONTH(ListeCours[[#This Row],[DATE]]),"")</f>
        <v>3</v>
      </c>
      <c r="M31" s="107">
        <f>IF(ListeCours[[#This Row],[DATE]],COUNTIF($L$3:L31,L31),"")</f>
        <v>11</v>
      </c>
      <c r="N31" s="109">
        <f>IF(ListeCours[[#This Row],[DATE]],YEAR(ListeCours[[#This Row],[DATE]]),"")</f>
        <v>2023</v>
      </c>
      <c r="O31" s="109" t="str">
        <f>IF(ListeCours[[#This Row],[DATE]],CONCATENATE(ListeCours[[#This Row],[mois]],".",ListeCours[[#This Row],[freq.mois]],".",ListeCours[[#This Row],[année]]),"")</f>
        <v>3.11.2023</v>
      </c>
      <c r="P31" s="109" t="str">
        <f>IFERROR(VLOOKUP(ListeCours[[#This Row],[FORMATEUR]],tables!$G$20:$H$54,2,0),"")</f>
        <v>COURL</v>
      </c>
      <c r="Q31" s="110">
        <f>IF(ListeCours[[#This Row],[DATE]],ROW()-ROW(ListeCours[[#Headers],[UNIQUE]]),"")</f>
        <v>29</v>
      </c>
    </row>
    <row r="32" spans="1:17" ht="24" customHeight="1" x14ac:dyDescent="0.25">
      <c r="A32" s="61" t="s">
        <v>187</v>
      </c>
      <c r="B32" s="60" t="s">
        <v>226</v>
      </c>
      <c r="C32" s="59">
        <v>45016</v>
      </c>
      <c r="D32" s="60" t="s">
        <v>273</v>
      </c>
      <c r="E32" s="62">
        <v>0.70833333333333337</v>
      </c>
      <c r="F32" s="62">
        <v>0.83333333333333337</v>
      </c>
      <c r="G32" s="114">
        <f>IF(ListeCours[[#This Row],[DATE]],ListeCours[[#This Row],[HEURE DE FIN]]-ListeCours[[#This Row],[HEURE DE DÉBUT]],"")</f>
        <v>0.125</v>
      </c>
      <c r="H32" s="63" t="s">
        <v>92</v>
      </c>
      <c r="I32" s="63"/>
      <c r="J32" s="117" t="str">
        <f>IF(ListeCours[[#This Row],[DATE]],A32&amp;"_"&amp;COUNTIF($A$3:A32,A32),"")</f>
        <v>M3 - Gestion prévisionnelle des finances de l’entreprise_13</v>
      </c>
      <c r="K32" s="118" t="str">
        <f>IF(ListeCours[[#This Row],[DATE]],D32&amp;"_"&amp;COUNTIF($D$3:D32,D32),"")</f>
        <v>S. COURLY_13</v>
      </c>
      <c r="L32" s="109">
        <f>IF(ListeCours[[#This Row],[DATE]],MONTH(ListeCours[[#This Row],[DATE]]),"")</f>
        <v>3</v>
      </c>
      <c r="M32" s="107">
        <f>IF(ListeCours[[#This Row],[DATE]],COUNTIF($L$3:L32,L32),"")</f>
        <v>12</v>
      </c>
      <c r="N32" s="109">
        <f>IF(ListeCours[[#This Row],[DATE]],YEAR(ListeCours[[#This Row],[DATE]]),"")</f>
        <v>2023</v>
      </c>
      <c r="O32" s="109" t="str">
        <f>IF(ListeCours[[#This Row],[DATE]],CONCATENATE(ListeCours[[#This Row],[mois]],".",ListeCours[[#This Row],[freq.mois]],".",ListeCours[[#This Row],[année]]),"")</f>
        <v>3.12.2023</v>
      </c>
      <c r="P32" s="109" t="str">
        <f>IFERROR(VLOOKUP(ListeCours[[#This Row],[FORMATEUR]],tables!$G$20:$H$54,2,0),"")</f>
        <v>COURL</v>
      </c>
      <c r="Q32" s="110">
        <f>IF(ListeCours[[#This Row],[DATE]],ROW()-ROW(ListeCours[[#Headers],[UNIQUE]]),"")</f>
        <v>30</v>
      </c>
    </row>
    <row r="33" spans="1:17" ht="24" customHeight="1" x14ac:dyDescent="0.25">
      <c r="A33" s="61" t="s">
        <v>296</v>
      </c>
      <c r="B33" s="60" t="s">
        <v>229</v>
      </c>
      <c r="C33" s="59">
        <v>45017</v>
      </c>
      <c r="D33" s="60" t="s">
        <v>272</v>
      </c>
      <c r="E33" s="62">
        <v>0.33333333333333331</v>
      </c>
      <c r="F33" s="62">
        <v>0.375</v>
      </c>
      <c r="G33" s="114">
        <f>IF(ListeCours[[#This Row],[DATE]],ListeCours[[#This Row],[HEURE DE FIN]]-ListeCours[[#This Row],[HEURE DE DÉBUT]],"")</f>
        <v>4.1666666666666685E-2</v>
      </c>
      <c r="H33" s="63" t="s">
        <v>92</v>
      </c>
      <c r="I33" s="63"/>
      <c r="J33" s="117" t="str">
        <f>IF(ListeCours[[#This Row],[DATE]],A33&amp;"_"&amp;COUNTIF($A$3:A33,A33),"")</f>
        <v>M5 - Règlementation nationale et internationale_3</v>
      </c>
      <c r="K33" s="118" t="str">
        <f>IF(ListeCours[[#This Row],[DATE]],D33&amp;"_"&amp;COUNTIF($D$3:D33,D33),"")</f>
        <v>R. QUILLET_6</v>
      </c>
      <c r="L33" s="109">
        <f>IF(ListeCours[[#This Row],[DATE]],MONTH(ListeCours[[#This Row],[DATE]]),"")</f>
        <v>4</v>
      </c>
      <c r="M33" s="107">
        <f>IF(ListeCours[[#This Row],[DATE]],COUNTIF($L$3:L33,L33),"")</f>
        <v>1</v>
      </c>
      <c r="N33" s="109">
        <f>IF(ListeCours[[#This Row],[DATE]],YEAR(ListeCours[[#This Row],[DATE]]),"")</f>
        <v>2023</v>
      </c>
      <c r="O33" s="109" t="str">
        <f>IF(ListeCours[[#This Row],[DATE]],CONCATENATE(ListeCours[[#This Row],[mois]],".",ListeCours[[#This Row],[freq.mois]],".",ListeCours[[#This Row],[année]]),"")</f>
        <v>4.1.2023</v>
      </c>
      <c r="P33" s="109" t="str">
        <f>IFERROR(VLOOKUP(ListeCours[[#This Row],[FORMATEUR]],tables!$G$20:$H$54,2,0),"")</f>
        <v>QUILL</v>
      </c>
      <c r="Q33" s="110">
        <f>IF(ListeCours[[#This Row],[DATE]],ROW()-ROW(ListeCours[[#Headers],[UNIQUE]]),"")</f>
        <v>31</v>
      </c>
    </row>
    <row r="34" spans="1:17" ht="24" customHeight="1" x14ac:dyDescent="0.25">
      <c r="A34" s="61" t="s">
        <v>296</v>
      </c>
      <c r="B34" s="60" t="s">
        <v>230</v>
      </c>
      <c r="C34" s="59">
        <v>45017</v>
      </c>
      <c r="D34" s="60" t="s">
        <v>272</v>
      </c>
      <c r="E34" s="57">
        <v>0.375</v>
      </c>
      <c r="F34" s="57">
        <v>0.5</v>
      </c>
      <c r="G34" s="114">
        <f>IF(ListeCours[[#This Row],[DATE]],ListeCours[[#This Row],[HEURE DE FIN]]-ListeCours[[#This Row],[HEURE DE DÉBUT]],"")</f>
        <v>0.125</v>
      </c>
      <c r="H34" s="63" t="s">
        <v>92</v>
      </c>
      <c r="I34" s="63"/>
      <c r="J34" s="117" t="str">
        <f>IF(ListeCours[[#This Row],[DATE]],A34&amp;"_"&amp;COUNTIF($A$3:A34,A34),"")</f>
        <v>M5 - Règlementation nationale et internationale_4</v>
      </c>
      <c r="K34" s="118" t="str">
        <f>IF(ListeCours[[#This Row],[DATE]],D34&amp;"_"&amp;COUNTIF($D$3:D34,D34),"")</f>
        <v>R. QUILLET_7</v>
      </c>
      <c r="L34" s="109">
        <f>IF(ListeCours[[#This Row],[DATE]],MONTH(ListeCours[[#This Row],[DATE]]),"")</f>
        <v>4</v>
      </c>
      <c r="M34" s="107">
        <f>IF(ListeCours[[#This Row],[DATE]],COUNTIF($L$3:L34,L34),"")</f>
        <v>2</v>
      </c>
      <c r="N34" s="107">
        <f>IF(ListeCours[[#This Row],[DATE]],YEAR(ListeCours[[#This Row],[DATE]]),"")</f>
        <v>2023</v>
      </c>
      <c r="O34" s="107" t="str">
        <f>IF(ListeCours[[#This Row],[DATE]],CONCATENATE(ListeCours[[#This Row],[mois]],".",ListeCours[[#This Row],[freq.mois]],".",ListeCours[[#This Row],[année]]),"")</f>
        <v>4.2.2023</v>
      </c>
      <c r="P34" s="107" t="str">
        <f>IFERROR(VLOOKUP(ListeCours[[#This Row],[FORMATEUR]],tables!$G$20:$H$54,2,0),"")</f>
        <v>QUILL</v>
      </c>
      <c r="Q34" s="110">
        <f>IF(ListeCours[[#This Row],[DATE]],ROW()-ROW(ListeCours[[#Headers],[UNIQUE]]),"")</f>
        <v>32</v>
      </c>
    </row>
    <row r="35" spans="1:17" ht="24" customHeight="1" x14ac:dyDescent="0.25">
      <c r="A35" s="61" t="s">
        <v>187</v>
      </c>
      <c r="B35" s="60" t="s">
        <v>226</v>
      </c>
      <c r="C35" s="59">
        <v>45019</v>
      </c>
      <c r="D35" s="60" t="s">
        <v>273</v>
      </c>
      <c r="E35" s="62">
        <v>0.33333333333333331</v>
      </c>
      <c r="F35" s="62">
        <v>0.5</v>
      </c>
      <c r="G35" s="114">
        <f>IF(ListeCours[[#This Row],[DATE]],ListeCours[[#This Row],[HEURE DE FIN]]-ListeCours[[#This Row],[HEURE DE DÉBUT]],"")</f>
        <v>0.16666666666666669</v>
      </c>
      <c r="H35" s="63" t="s">
        <v>92</v>
      </c>
      <c r="I35" s="63" t="s">
        <v>388</v>
      </c>
      <c r="J35" s="117" t="str">
        <f>IF(ListeCours[[#This Row],[DATE]],A35&amp;"_"&amp;COUNTIF($A$3:A35,A35),"")</f>
        <v>M3 - Gestion prévisionnelle des finances de l’entreprise_14</v>
      </c>
      <c r="K35" s="118" t="str">
        <f>IF(ListeCours[[#This Row],[DATE]],D35&amp;"_"&amp;COUNTIF($D$3:D35,D35),"")</f>
        <v>S. COURLY_14</v>
      </c>
      <c r="L35" s="109">
        <f>IF(ListeCours[[#This Row],[DATE]],MONTH(ListeCours[[#This Row],[DATE]]),"")</f>
        <v>4</v>
      </c>
      <c r="M35" s="107">
        <f>IF(ListeCours[[#This Row],[DATE]],COUNTIF($L$3:L35,L35),"")</f>
        <v>3</v>
      </c>
      <c r="N35" s="109">
        <f>IF(ListeCours[[#This Row],[DATE]],YEAR(ListeCours[[#This Row],[DATE]]),"")</f>
        <v>2023</v>
      </c>
      <c r="O35" s="109" t="str">
        <f>IF(ListeCours[[#This Row],[DATE]],CONCATENATE(ListeCours[[#This Row],[mois]],".",ListeCours[[#This Row],[freq.mois]],".",ListeCours[[#This Row],[année]]),"")</f>
        <v>4.3.2023</v>
      </c>
      <c r="P35" s="109" t="str">
        <f>IFERROR(VLOOKUP(ListeCours[[#This Row],[FORMATEUR]],tables!$G$20:$H$54,2,0),"")</f>
        <v>COURL</v>
      </c>
      <c r="Q35" s="110">
        <f>IF(ListeCours[[#This Row],[DATE]],ROW()-ROW(ListeCours[[#Headers],[UNIQUE]]),"")</f>
        <v>33</v>
      </c>
    </row>
    <row r="36" spans="1:17" ht="24" customHeight="1" x14ac:dyDescent="0.25">
      <c r="A36" s="61" t="s">
        <v>296</v>
      </c>
      <c r="B36" s="60" t="s">
        <v>230</v>
      </c>
      <c r="C36" s="59">
        <v>45022</v>
      </c>
      <c r="D36" s="60" t="s">
        <v>272</v>
      </c>
      <c r="E36" s="57">
        <v>0.70833333333333337</v>
      </c>
      <c r="F36" s="57">
        <v>0.83333333333333337</v>
      </c>
      <c r="G36" s="114">
        <f>IF(ListeCours[[#This Row],[DATE]],ListeCours[[#This Row],[HEURE DE FIN]]-ListeCours[[#This Row],[HEURE DE DÉBUT]],"")</f>
        <v>0.125</v>
      </c>
      <c r="H36" s="63" t="s">
        <v>92</v>
      </c>
      <c r="I36" s="63"/>
      <c r="J36" s="117" t="str">
        <f>IF(ListeCours[[#This Row],[DATE]],A36&amp;"_"&amp;COUNTIF($A$3:A36,A36),"")</f>
        <v>M5 - Règlementation nationale et internationale_5</v>
      </c>
      <c r="K36" s="118" t="str">
        <f>IF(ListeCours[[#This Row],[DATE]],D36&amp;"_"&amp;COUNTIF($D$3:D36,D36),"")</f>
        <v>R. QUILLET_8</v>
      </c>
      <c r="L36" s="109">
        <f>IF(ListeCours[[#This Row],[DATE]],MONTH(ListeCours[[#This Row],[DATE]]),"")</f>
        <v>4</v>
      </c>
      <c r="M36" s="107">
        <f>IF(ListeCours[[#This Row],[DATE]],COUNTIF($L$3:L36,L36),"")</f>
        <v>4</v>
      </c>
      <c r="N36" s="109">
        <f>IF(ListeCours[[#This Row],[DATE]],YEAR(ListeCours[[#This Row],[DATE]]),"")</f>
        <v>2023</v>
      </c>
      <c r="O36" s="109" t="str">
        <f>IF(ListeCours[[#This Row],[DATE]],CONCATENATE(ListeCours[[#This Row],[mois]],".",ListeCours[[#This Row],[freq.mois]],".",ListeCours[[#This Row],[année]]),"")</f>
        <v>4.4.2023</v>
      </c>
      <c r="P36" s="109" t="str">
        <f>IFERROR(VLOOKUP(ListeCours[[#This Row],[FORMATEUR]],tables!$G$20:$H$54,2,0),"")</f>
        <v>QUILL</v>
      </c>
      <c r="Q36" s="110">
        <f>IF(ListeCours[[#This Row],[DATE]],ROW()-ROW(ListeCours[[#Headers],[UNIQUE]]),"")</f>
        <v>34</v>
      </c>
    </row>
    <row r="37" spans="1:17" ht="24" customHeight="1" x14ac:dyDescent="0.25">
      <c r="A37" s="61" t="s">
        <v>296</v>
      </c>
      <c r="B37" s="60" t="s">
        <v>230</v>
      </c>
      <c r="C37" s="59">
        <v>45023</v>
      </c>
      <c r="D37" s="60" t="s">
        <v>272</v>
      </c>
      <c r="E37" s="62">
        <v>0.70833333333333337</v>
      </c>
      <c r="F37" s="62">
        <v>0.83333333333333337</v>
      </c>
      <c r="G37" s="114">
        <f>IF(ListeCours[[#This Row],[DATE]],ListeCours[[#This Row],[HEURE DE FIN]]-ListeCours[[#This Row],[HEURE DE DÉBUT]],"")</f>
        <v>0.125</v>
      </c>
      <c r="H37" s="63" t="s">
        <v>92</v>
      </c>
      <c r="I37" s="63"/>
      <c r="J37" s="117" t="str">
        <f>IF(ListeCours[[#This Row],[DATE]],A37&amp;"_"&amp;COUNTIF($A$3:A37,A37),"")</f>
        <v>M5 - Règlementation nationale et internationale_6</v>
      </c>
      <c r="K37" s="118" t="str">
        <f>IF(ListeCours[[#This Row],[DATE]],D37&amp;"_"&amp;COUNTIF($D$3:D37,D37),"")</f>
        <v>R. QUILLET_9</v>
      </c>
      <c r="L37" s="109">
        <f>IF(ListeCours[[#This Row],[DATE]],MONTH(ListeCours[[#This Row],[DATE]]),"")</f>
        <v>4</v>
      </c>
      <c r="M37" s="107">
        <f>IF(ListeCours[[#This Row],[DATE]],COUNTIF($L$3:L37,L37),"")</f>
        <v>5</v>
      </c>
      <c r="N37" s="109">
        <f>IF(ListeCours[[#This Row],[DATE]],YEAR(ListeCours[[#This Row],[DATE]]),"")</f>
        <v>2023</v>
      </c>
      <c r="O37" s="109" t="str">
        <f>IF(ListeCours[[#This Row],[DATE]],CONCATENATE(ListeCours[[#This Row],[mois]],".",ListeCours[[#This Row],[freq.mois]],".",ListeCours[[#This Row],[année]]),"")</f>
        <v>4.5.2023</v>
      </c>
      <c r="P37" s="109" t="str">
        <f>IFERROR(VLOOKUP(ListeCours[[#This Row],[FORMATEUR]],tables!$G$20:$H$54,2,0),"")</f>
        <v>QUILL</v>
      </c>
      <c r="Q37" s="110">
        <f>IF(ListeCours[[#This Row],[DATE]],ROW()-ROW(ListeCours[[#Headers],[UNIQUE]]),"")</f>
        <v>35</v>
      </c>
    </row>
    <row r="38" spans="1:17" ht="24" hidden="1" customHeight="1" x14ac:dyDescent="0.25">
      <c r="A38" s="61" t="s">
        <v>256</v>
      </c>
      <c r="B38" s="60" t="s">
        <v>363</v>
      </c>
      <c r="C38" s="59">
        <v>45024</v>
      </c>
      <c r="D38" s="60"/>
      <c r="E38" s="62">
        <v>0.33333333333333331</v>
      </c>
      <c r="F38" s="62">
        <v>0.39583333333333331</v>
      </c>
      <c r="G38" s="114">
        <f>IF(ListeCours[[#This Row],[DATE]],ListeCours[[#This Row],[HEURE DE FIN]]-ListeCours[[#This Row],[HEURE DE DÉBUT]],"")</f>
        <v>6.25E-2</v>
      </c>
      <c r="H38" s="63" t="s">
        <v>92</v>
      </c>
      <c r="I38" s="63" t="s">
        <v>367</v>
      </c>
      <c r="J38" s="117" t="str">
        <f>IF(ListeCours[[#This Row],[DATE]],A38&amp;"_"&amp;COUNTIF($A$3:A38,A38),"")</f>
        <v>Evaluation BC1_1</v>
      </c>
      <c r="K38" s="118" t="str">
        <f>IF(ListeCours[[#This Row],[DATE]],D38&amp;"_"&amp;COUNTIF($D$3:D38,D38),"")</f>
        <v>_0</v>
      </c>
      <c r="L38" s="109">
        <f>IF(ListeCours[[#This Row],[DATE]],MONTH(ListeCours[[#This Row],[DATE]]),"")</f>
        <v>4</v>
      </c>
      <c r="M38" s="107">
        <f>IF(ListeCours[[#This Row],[DATE]],COUNTIF($L$3:L38,L38),"")</f>
        <v>6</v>
      </c>
      <c r="N38" s="109">
        <f>IF(ListeCours[[#This Row],[DATE]],YEAR(ListeCours[[#This Row],[DATE]]),"")</f>
        <v>2023</v>
      </c>
      <c r="O38" s="109" t="str">
        <f>IF(ListeCours[[#This Row],[DATE]],CONCATENATE(ListeCours[[#This Row],[mois]],".",ListeCours[[#This Row],[freq.mois]],".",ListeCours[[#This Row],[année]]),"")</f>
        <v>4.6.2023</v>
      </c>
      <c r="P38" s="109" t="str">
        <f>IFERROR(VLOOKUP(ListeCours[[#This Row],[FORMATEUR]],tables!$G$20:$H$54,2,0),"")</f>
        <v/>
      </c>
      <c r="Q38" s="110">
        <f>IF(ListeCours[[#This Row],[DATE]],ROW()-ROW(ListeCours[[#Headers],[UNIQUE]]),"")</f>
        <v>36</v>
      </c>
    </row>
    <row r="39" spans="1:17" ht="24" customHeight="1" x14ac:dyDescent="0.25">
      <c r="A39" s="61" t="s">
        <v>296</v>
      </c>
      <c r="B39" s="60" t="s">
        <v>230</v>
      </c>
      <c r="C39" s="59">
        <v>45029</v>
      </c>
      <c r="D39" s="60" t="s">
        <v>272</v>
      </c>
      <c r="E39" s="62">
        <v>0.70833333333333337</v>
      </c>
      <c r="F39" s="62">
        <v>0.83333333333333337</v>
      </c>
      <c r="G39" s="114">
        <f>IF(ListeCours[[#This Row],[DATE]],ListeCours[[#This Row],[HEURE DE FIN]]-ListeCours[[#This Row],[HEURE DE DÉBUT]],"")</f>
        <v>0.125</v>
      </c>
      <c r="H39" s="63" t="s">
        <v>92</v>
      </c>
      <c r="I39" s="63"/>
      <c r="J39" s="117" t="str">
        <f>IF(ListeCours[[#This Row],[DATE]],A39&amp;"_"&amp;COUNTIF($A$3:A39,A39),"")</f>
        <v>M5 - Règlementation nationale et internationale_7</v>
      </c>
      <c r="K39" s="118" t="str">
        <f>IF(ListeCours[[#This Row],[DATE]],D39&amp;"_"&amp;COUNTIF($D$3:D39,D39),"")</f>
        <v>R. QUILLET_10</v>
      </c>
      <c r="L39" s="109">
        <f>IF(ListeCours[[#This Row],[DATE]],MONTH(ListeCours[[#This Row],[DATE]]),"")</f>
        <v>4</v>
      </c>
      <c r="M39" s="107">
        <f>IF(ListeCours[[#This Row],[DATE]],COUNTIF($L$3:L39,L39),"")</f>
        <v>7</v>
      </c>
      <c r="N39" s="109">
        <f>IF(ListeCours[[#This Row],[DATE]],YEAR(ListeCours[[#This Row],[DATE]]),"")</f>
        <v>2023</v>
      </c>
      <c r="O39" s="109" t="str">
        <f>IF(ListeCours[[#This Row],[DATE]],CONCATENATE(ListeCours[[#This Row],[mois]],".",ListeCours[[#This Row],[freq.mois]],".",ListeCours[[#This Row],[année]]),"")</f>
        <v>4.7.2023</v>
      </c>
      <c r="P39" s="109" t="str">
        <f>IFERROR(VLOOKUP(ListeCours[[#This Row],[FORMATEUR]],tables!$G$20:$H$54,2,0),"")</f>
        <v>QUILL</v>
      </c>
      <c r="Q39" s="110">
        <f>IF(ListeCours[[#This Row],[DATE]],ROW()-ROW(ListeCours[[#Headers],[UNIQUE]]),"")</f>
        <v>37</v>
      </c>
    </row>
    <row r="40" spans="1:17" ht="24" customHeight="1" x14ac:dyDescent="0.25">
      <c r="A40" s="61" t="s">
        <v>296</v>
      </c>
      <c r="B40" s="60" t="s">
        <v>230</v>
      </c>
      <c r="C40" s="59">
        <v>45030</v>
      </c>
      <c r="D40" s="60" t="s">
        <v>272</v>
      </c>
      <c r="E40" s="62">
        <v>0.70833333333333337</v>
      </c>
      <c r="F40" s="62">
        <v>0.79166666666666663</v>
      </c>
      <c r="G40" s="114">
        <f>IF(ListeCours[[#This Row],[DATE]],ListeCours[[#This Row],[HEURE DE FIN]]-ListeCours[[#This Row],[HEURE DE DÉBUT]],"")</f>
        <v>8.3333333333333259E-2</v>
      </c>
      <c r="H40" s="63" t="s">
        <v>92</v>
      </c>
      <c r="I40" s="63"/>
      <c r="J40" s="117" t="str">
        <f>IF(ListeCours[[#This Row],[DATE]],A40&amp;"_"&amp;COUNTIF($A$3:A40,A40),"")</f>
        <v>M5 - Règlementation nationale et internationale_8</v>
      </c>
      <c r="K40" s="118" t="str">
        <f>IF(ListeCours[[#This Row],[DATE]],D40&amp;"_"&amp;COUNTIF($D$3:D40,D40),"")</f>
        <v>R. QUILLET_11</v>
      </c>
      <c r="L40" s="109">
        <f>IF(ListeCours[[#This Row],[DATE]],MONTH(ListeCours[[#This Row],[DATE]]),"")</f>
        <v>4</v>
      </c>
      <c r="M40" s="107">
        <f>IF(ListeCours[[#This Row],[DATE]],COUNTIF($L$3:L40,L40),"")</f>
        <v>8</v>
      </c>
      <c r="N40" s="109">
        <f>IF(ListeCours[[#This Row],[DATE]],YEAR(ListeCours[[#This Row],[DATE]]),"")</f>
        <v>2023</v>
      </c>
      <c r="O40" s="109" t="str">
        <f>IF(ListeCours[[#This Row],[DATE]],CONCATENATE(ListeCours[[#This Row],[mois]],".",ListeCours[[#This Row],[freq.mois]],".",ListeCours[[#This Row],[année]]),"")</f>
        <v>4.8.2023</v>
      </c>
      <c r="P40" s="109" t="str">
        <f>IFERROR(VLOOKUP(ListeCours[[#This Row],[FORMATEUR]],tables!$G$20:$H$54,2,0),"")</f>
        <v>QUILL</v>
      </c>
      <c r="Q40" s="110">
        <f>IF(ListeCours[[#This Row],[DATE]],ROW()-ROW(ListeCours[[#Headers],[UNIQUE]]),"")</f>
        <v>38</v>
      </c>
    </row>
    <row r="41" spans="1:17" ht="24" hidden="1" customHeight="1" x14ac:dyDescent="0.25">
      <c r="A41" s="61" t="s">
        <v>296</v>
      </c>
      <c r="B41" s="60" t="s">
        <v>231</v>
      </c>
      <c r="C41" s="59">
        <v>45031</v>
      </c>
      <c r="D41" s="60" t="s">
        <v>277</v>
      </c>
      <c r="E41" s="62">
        <v>0.33333333333333331</v>
      </c>
      <c r="F41" s="62">
        <v>0.5</v>
      </c>
      <c r="G41" s="114">
        <f>IF(ListeCours[[#This Row],[DATE]],ListeCours[[#This Row],[HEURE DE FIN]]-ListeCours[[#This Row],[HEURE DE DÉBUT]],"")</f>
        <v>0.16666666666666669</v>
      </c>
      <c r="H41" s="63" t="s">
        <v>92</v>
      </c>
      <c r="I41" s="63"/>
      <c r="J41" s="117" t="str">
        <f>IF(ListeCours[[#This Row],[DATE]],A41&amp;"_"&amp;COUNTIF($A$3:A41,A41),"")</f>
        <v>M5 - Règlementation nationale et internationale_9</v>
      </c>
      <c r="K41" s="118" t="str">
        <f>IF(ListeCours[[#This Row],[DATE]],D41&amp;"_"&amp;COUNTIF($D$3:D41,D41),"")</f>
        <v>R. FERRAND_1</v>
      </c>
      <c r="L41" s="109">
        <f>IF(ListeCours[[#This Row],[DATE]],MONTH(ListeCours[[#This Row],[DATE]]),"")</f>
        <v>4</v>
      </c>
      <c r="M41" s="107">
        <f>IF(ListeCours[[#This Row],[DATE]],COUNTIF($L$3:L41,L41),"")</f>
        <v>9</v>
      </c>
      <c r="N41" s="109">
        <f>IF(ListeCours[[#This Row],[DATE]],YEAR(ListeCours[[#This Row],[DATE]]),"")</f>
        <v>2023</v>
      </c>
      <c r="O41" s="109" t="str">
        <f>IF(ListeCours[[#This Row],[DATE]],CONCATENATE(ListeCours[[#This Row],[mois]],".",ListeCours[[#This Row],[freq.mois]],".",ListeCours[[#This Row],[année]]),"")</f>
        <v>4.9.2023</v>
      </c>
      <c r="P41" s="109" t="str">
        <f>IFERROR(VLOOKUP(ListeCours[[#This Row],[FORMATEUR]],tables!$G$20:$H$54,2,0),"")</f>
        <v>FERRA</v>
      </c>
      <c r="Q41" s="110">
        <f>IF(ListeCours[[#This Row],[DATE]],ROW()-ROW(ListeCours[[#Headers],[UNIQUE]]),"")</f>
        <v>39</v>
      </c>
    </row>
    <row r="42" spans="1:17" ht="24" hidden="1" customHeight="1" x14ac:dyDescent="0.25">
      <c r="A42" s="61" t="s">
        <v>296</v>
      </c>
      <c r="B42" s="60" t="s">
        <v>232</v>
      </c>
      <c r="C42" s="59">
        <v>45036</v>
      </c>
      <c r="D42" s="60" t="s">
        <v>277</v>
      </c>
      <c r="E42" s="62">
        <v>0.70833333333333337</v>
      </c>
      <c r="F42" s="62">
        <v>0.83333333333333337</v>
      </c>
      <c r="G42" s="114">
        <f>IF(ListeCours[[#This Row],[DATE]],ListeCours[[#This Row],[HEURE DE FIN]]-ListeCours[[#This Row],[HEURE DE DÉBUT]],"")</f>
        <v>0.125</v>
      </c>
      <c r="H42" s="63" t="s">
        <v>92</v>
      </c>
      <c r="I42" s="63"/>
      <c r="J42" s="117" t="str">
        <f>IF(ListeCours[[#This Row],[DATE]],A42&amp;"_"&amp;COUNTIF($A$3:A42,A42),"")</f>
        <v>M5 - Règlementation nationale et internationale_10</v>
      </c>
      <c r="K42" s="118" t="str">
        <f>IF(ListeCours[[#This Row],[DATE]],D42&amp;"_"&amp;COUNTIF($D$3:D42,D42),"")</f>
        <v>R. FERRAND_2</v>
      </c>
      <c r="L42" s="109">
        <f>IF(ListeCours[[#This Row],[DATE]],MONTH(ListeCours[[#This Row],[DATE]]),"")</f>
        <v>4</v>
      </c>
      <c r="M42" s="107">
        <f>IF(ListeCours[[#This Row],[DATE]],COUNTIF($L$3:L42,L42),"")</f>
        <v>10</v>
      </c>
      <c r="N42" s="109">
        <f>IF(ListeCours[[#This Row],[DATE]],YEAR(ListeCours[[#This Row],[DATE]]),"")</f>
        <v>2023</v>
      </c>
      <c r="O42" s="109" t="str">
        <f>IF(ListeCours[[#This Row],[DATE]],CONCATENATE(ListeCours[[#This Row],[mois]],".",ListeCours[[#This Row],[freq.mois]],".",ListeCours[[#This Row],[année]]),"")</f>
        <v>4.10.2023</v>
      </c>
      <c r="P42" s="109" t="str">
        <f>IFERROR(VLOOKUP(ListeCours[[#This Row],[FORMATEUR]],tables!$G$20:$H$54,2,0),"")</f>
        <v>FERRA</v>
      </c>
      <c r="Q42" s="110">
        <f>IF(ListeCours[[#This Row],[DATE]],ROW()-ROW(ListeCours[[#Headers],[UNIQUE]]),"")</f>
        <v>40</v>
      </c>
    </row>
    <row r="43" spans="1:17" ht="24" hidden="1" customHeight="1" x14ac:dyDescent="0.25">
      <c r="A43" s="61" t="s">
        <v>296</v>
      </c>
      <c r="B43" s="60" t="s">
        <v>232</v>
      </c>
      <c r="C43" s="59">
        <v>45037</v>
      </c>
      <c r="D43" s="60" t="s">
        <v>277</v>
      </c>
      <c r="E43" s="62">
        <v>0.70833333333333337</v>
      </c>
      <c r="F43" s="62">
        <v>0.83333333333333337</v>
      </c>
      <c r="G43" s="114">
        <f>IF(ListeCours[[#This Row],[DATE]],ListeCours[[#This Row],[HEURE DE FIN]]-ListeCours[[#This Row],[HEURE DE DÉBUT]],"")</f>
        <v>0.125</v>
      </c>
      <c r="H43" s="63" t="s">
        <v>92</v>
      </c>
      <c r="I43" s="63"/>
      <c r="J43" s="117" t="str">
        <f>IF(ListeCours[[#This Row],[DATE]],A43&amp;"_"&amp;COUNTIF($A$3:A43,A43),"")</f>
        <v>M5 - Règlementation nationale et internationale_11</v>
      </c>
      <c r="K43" s="118" t="str">
        <f>IF(ListeCours[[#This Row],[DATE]],D43&amp;"_"&amp;COUNTIF($D$3:D43,D43),"")</f>
        <v>R. FERRAND_3</v>
      </c>
      <c r="L43" s="109">
        <f>IF(ListeCours[[#This Row],[DATE]],MONTH(ListeCours[[#This Row],[DATE]]),"")</f>
        <v>4</v>
      </c>
      <c r="M43" s="107">
        <f>IF(ListeCours[[#This Row],[DATE]],COUNTIF($L$3:L43,L43),"")</f>
        <v>11</v>
      </c>
      <c r="N43" s="109">
        <f>IF(ListeCours[[#This Row],[DATE]],YEAR(ListeCours[[#This Row],[DATE]]),"")</f>
        <v>2023</v>
      </c>
      <c r="O43" s="109" t="str">
        <f>IF(ListeCours[[#This Row],[DATE]],CONCATENATE(ListeCours[[#This Row],[mois]],".",ListeCours[[#This Row],[freq.mois]],".",ListeCours[[#This Row],[année]]),"")</f>
        <v>4.11.2023</v>
      </c>
      <c r="P43" s="109" t="str">
        <f>IFERROR(VLOOKUP(ListeCours[[#This Row],[FORMATEUR]],tables!$G$20:$H$54,2,0),"")</f>
        <v>FERRA</v>
      </c>
      <c r="Q43" s="110">
        <f>IF(ListeCours[[#This Row],[DATE]],ROW()-ROW(ListeCours[[#Headers],[UNIQUE]]),"")</f>
        <v>41</v>
      </c>
    </row>
    <row r="44" spans="1:17" ht="24" hidden="1" customHeight="1" x14ac:dyDescent="0.25">
      <c r="A44" s="61" t="s">
        <v>296</v>
      </c>
      <c r="B44" s="60" t="s">
        <v>232</v>
      </c>
      <c r="C44" s="59">
        <v>45038</v>
      </c>
      <c r="D44" s="60" t="s">
        <v>277</v>
      </c>
      <c r="E44" s="62">
        <v>0.33333333333333331</v>
      </c>
      <c r="F44" s="62">
        <v>0.5</v>
      </c>
      <c r="G44" s="114">
        <f>IF(ListeCours[[#This Row],[DATE]],ListeCours[[#This Row],[HEURE DE FIN]]-ListeCours[[#This Row],[HEURE DE DÉBUT]],"")</f>
        <v>0.16666666666666669</v>
      </c>
      <c r="H44" s="63" t="s">
        <v>92</v>
      </c>
      <c r="I44" s="63"/>
      <c r="J44" s="117" t="str">
        <f>IF(ListeCours[[#This Row],[DATE]],A44&amp;"_"&amp;COUNTIF($A$3:A44,A44),"")</f>
        <v>M5 - Règlementation nationale et internationale_12</v>
      </c>
      <c r="K44" s="118" t="str">
        <f>IF(ListeCours[[#This Row],[DATE]],D44&amp;"_"&amp;COUNTIF($D$3:D44,D44),"")</f>
        <v>R. FERRAND_4</v>
      </c>
      <c r="L44" s="109">
        <f>IF(ListeCours[[#This Row],[DATE]],MONTH(ListeCours[[#This Row],[DATE]]),"")</f>
        <v>4</v>
      </c>
      <c r="M44" s="107">
        <f>IF(ListeCours[[#This Row],[DATE]],COUNTIF($L$3:L44,L44),"")</f>
        <v>12</v>
      </c>
      <c r="N44" s="109">
        <f>IF(ListeCours[[#This Row],[DATE]],YEAR(ListeCours[[#This Row],[DATE]]),"")</f>
        <v>2023</v>
      </c>
      <c r="O44" s="109" t="str">
        <f>IF(ListeCours[[#This Row],[DATE]],CONCATENATE(ListeCours[[#This Row],[mois]],".",ListeCours[[#This Row],[freq.mois]],".",ListeCours[[#This Row],[année]]),"")</f>
        <v>4.12.2023</v>
      </c>
      <c r="P44" s="109" t="str">
        <f>IFERROR(VLOOKUP(ListeCours[[#This Row],[FORMATEUR]],tables!$G$20:$H$54,2,0),"")</f>
        <v>FERRA</v>
      </c>
      <c r="Q44" s="110">
        <f>IF(ListeCours[[#This Row],[DATE]],ROW()-ROW(ListeCours[[#Headers],[UNIQUE]]),"")</f>
        <v>42</v>
      </c>
    </row>
    <row r="45" spans="1:17" ht="24" hidden="1" customHeight="1" x14ac:dyDescent="0.25">
      <c r="A45" s="61" t="s">
        <v>296</v>
      </c>
      <c r="B45" s="60" t="s">
        <v>232</v>
      </c>
      <c r="C45" s="59">
        <v>45043</v>
      </c>
      <c r="D45" s="60" t="s">
        <v>277</v>
      </c>
      <c r="E45" s="62">
        <v>0.70833333333333337</v>
      </c>
      <c r="F45" s="62">
        <v>0.83333333333333337</v>
      </c>
      <c r="G45" s="114">
        <f>IF(ListeCours[[#This Row],[DATE]],ListeCours[[#This Row],[HEURE DE FIN]]-ListeCours[[#This Row],[HEURE DE DÉBUT]],"")</f>
        <v>0.125</v>
      </c>
      <c r="H45" s="63" t="s">
        <v>92</v>
      </c>
      <c r="I45" s="63"/>
      <c r="J45" s="117" t="str">
        <f>IF(ListeCours[[#This Row],[DATE]],A45&amp;"_"&amp;COUNTIF($A$3:A45,A45),"")</f>
        <v>M5 - Règlementation nationale et internationale_13</v>
      </c>
      <c r="K45" s="118" t="str">
        <f>IF(ListeCours[[#This Row],[DATE]],D45&amp;"_"&amp;COUNTIF($D$3:D45,D45),"")</f>
        <v>R. FERRAND_5</v>
      </c>
      <c r="L45" s="109">
        <f>IF(ListeCours[[#This Row],[DATE]],MONTH(ListeCours[[#This Row],[DATE]]),"")</f>
        <v>4</v>
      </c>
      <c r="M45" s="107">
        <f>IF(ListeCours[[#This Row],[DATE]],COUNTIF($L$3:L45,L45),"")</f>
        <v>13</v>
      </c>
      <c r="N45" s="109">
        <f>IF(ListeCours[[#This Row],[DATE]],YEAR(ListeCours[[#This Row],[DATE]]),"")</f>
        <v>2023</v>
      </c>
      <c r="O45" s="109" t="str">
        <f>IF(ListeCours[[#This Row],[DATE]],CONCATENATE(ListeCours[[#This Row],[mois]],".",ListeCours[[#This Row],[freq.mois]],".",ListeCours[[#This Row],[année]]),"")</f>
        <v>4.13.2023</v>
      </c>
      <c r="P45" s="109" t="str">
        <f>IFERROR(VLOOKUP(ListeCours[[#This Row],[FORMATEUR]],tables!$G$20:$H$54,2,0),"")</f>
        <v>FERRA</v>
      </c>
      <c r="Q45" s="110">
        <f>IF(ListeCours[[#This Row],[DATE]],ROW()-ROW(ListeCours[[#Headers],[UNIQUE]]),"")</f>
        <v>43</v>
      </c>
    </row>
    <row r="46" spans="1:17" ht="24" hidden="1" customHeight="1" x14ac:dyDescent="0.25">
      <c r="A46" s="61" t="s">
        <v>296</v>
      </c>
      <c r="B46" s="60" t="s">
        <v>232</v>
      </c>
      <c r="C46" s="59">
        <v>45044</v>
      </c>
      <c r="D46" s="60" t="s">
        <v>277</v>
      </c>
      <c r="E46" s="62">
        <v>0.70833333333333337</v>
      </c>
      <c r="F46" s="62">
        <v>0.83333333333333337</v>
      </c>
      <c r="G46" s="114">
        <f>IF(ListeCours[[#This Row],[DATE]],ListeCours[[#This Row],[HEURE DE FIN]]-ListeCours[[#This Row],[HEURE DE DÉBUT]],"")</f>
        <v>0.125</v>
      </c>
      <c r="H46" s="63" t="s">
        <v>92</v>
      </c>
      <c r="I46" s="63"/>
      <c r="J46" s="117" t="str">
        <f>IF(ListeCours[[#This Row],[DATE]],A46&amp;"_"&amp;COUNTIF($A$3:A46,A46),"")</f>
        <v>M5 - Règlementation nationale et internationale_14</v>
      </c>
      <c r="K46" s="118" t="str">
        <f>IF(ListeCours[[#This Row],[DATE]],D46&amp;"_"&amp;COUNTIF($D$3:D46,D46),"")</f>
        <v>R. FERRAND_6</v>
      </c>
      <c r="L46" s="109">
        <f>IF(ListeCours[[#This Row],[DATE]],MONTH(ListeCours[[#This Row],[DATE]]),"")</f>
        <v>4</v>
      </c>
      <c r="M46" s="107">
        <f>IF(ListeCours[[#This Row],[DATE]],COUNTIF($L$3:L46,L46),"")</f>
        <v>14</v>
      </c>
      <c r="N46" s="109">
        <f>IF(ListeCours[[#This Row],[DATE]],YEAR(ListeCours[[#This Row],[DATE]]),"")</f>
        <v>2023</v>
      </c>
      <c r="O46" s="109" t="str">
        <f>IF(ListeCours[[#This Row],[DATE]],CONCATENATE(ListeCours[[#This Row],[mois]],".",ListeCours[[#This Row],[freq.mois]],".",ListeCours[[#This Row],[année]]),"")</f>
        <v>4.14.2023</v>
      </c>
      <c r="P46" s="109" t="str">
        <f>IFERROR(VLOOKUP(ListeCours[[#This Row],[FORMATEUR]],tables!$G$20:$H$54,2,0),"")</f>
        <v>FERRA</v>
      </c>
      <c r="Q46" s="110">
        <f>IF(ListeCours[[#This Row],[DATE]],ROW()-ROW(ListeCours[[#Headers],[UNIQUE]]),"")</f>
        <v>44</v>
      </c>
    </row>
    <row r="47" spans="1:17" ht="24" hidden="1" customHeight="1" x14ac:dyDescent="0.25">
      <c r="A47" s="61" t="s">
        <v>304</v>
      </c>
      <c r="B47" s="60" t="s">
        <v>65</v>
      </c>
      <c r="C47" s="59">
        <v>45045</v>
      </c>
      <c r="D47" s="60" t="s">
        <v>310</v>
      </c>
      <c r="E47" s="57">
        <v>0.33333333333333331</v>
      </c>
      <c r="F47" s="62">
        <v>0.5</v>
      </c>
      <c r="G47" s="114">
        <f>IF(ListeCours[[#This Row],[DATE]],ListeCours[[#This Row],[HEURE DE FIN]]-ListeCours[[#This Row],[HEURE DE DÉBUT]],"")</f>
        <v>0.16666666666666669</v>
      </c>
      <c r="H47" s="63" t="s">
        <v>92</v>
      </c>
      <c r="I47" s="63"/>
      <c r="J47" s="117" t="str">
        <f>IF(ListeCours[[#This Row],[DATE]],A47&amp;"_"&amp;COUNTIF($A$3:A47,A47),"")</f>
        <v>M13 - Accompagnement mémoire_3</v>
      </c>
      <c r="K47" s="118" t="str">
        <f>IF(ListeCours[[#This Row],[DATE]],D47&amp;"_"&amp;COUNTIF($D$3:D47,D47),"")</f>
        <v>A. NAYLS_5</v>
      </c>
      <c r="L47" s="109">
        <f>IF(ListeCours[[#This Row],[DATE]],MONTH(ListeCours[[#This Row],[DATE]]),"")</f>
        <v>4</v>
      </c>
      <c r="M47" s="107">
        <f>IF(ListeCours[[#This Row],[DATE]],COUNTIF($L$3:L47,L47),"")</f>
        <v>15</v>
      </c>
      <c r="N47" s="109">
        <f>IF(ListeCours[[#This Row],[DATE]],YEAR(ListeCours[[#This Row],[DATE]]),"")</f>
        <v>2023</v>
      </c>
      <c r="O47" s="109" t="str">
        <f>IF(ListeCours[[#This Row],[DATE]],CONCATENATE(ListeCours[[#This Row],[mois]],".",ListeCours[[#This Row],[freq.mois]],".",ListeCours[[#This Row],[année]]),"")</f>
        <v>4.15.2023</v>
      </c>
      <c r="P47" s="109" t="str">
        <f>IFERROR(VLOOKUP(ListeCours[[#This Row],[FORMATEUR]],tables!$G$20:$H$54,2,0),"")</f>
        <v>NAYLS</v>
      </c>
      <c r="Q47" s="110">
        <f>IF(ListeCours[[#This Row],[DATE]],ROW()-ROW(ListeCours[[#Headers],[UNIQUE]]),"")</f>
        <v>45</v>
      </c>
    </row>
    <row r="48" spans="1:17" ht="24" hidden="1" customHeight="1" x14ac:dyDescent="0.25">
      <c r="A48" s="61" t="s">
        <v>296</v>
      </c>
      <c r="B48" s="60" t="s">
        <v>232</v>
      </c>
      <c r="C48" s="59">
        <v>45050</v>
      </c>
      <c r="D48" s="60" t="s">
        <v>277</v>
      </c>
      <c r="E48" s="62">
        <v>0.70833333333333337</v>
      </c>
      <c r="F48" s="62">
        <v>0.75</v>
      </c>
      <c r="G48" s="114">
        <f>IF(ListeCours[[#This Row],[DATE]],ListeCours[[#This Row],[HEURE DE FIN]]-ListeCours[[#This Row],[HEURE DE DÉBUT]],"")</f>
        <v>4.166666666666663E-2</v>
      </c>
      <c r="H48" s="63" t="s">
        <v>92</v>
      </c>
      <c r="I48" s="63"/>
      <c r="J48" s="117" t="str">
        <f>IF(ListeCours[[#This Row],[DATE]],A48&amp;"_"&amp;COUNTIF($A$3:A48,A48),"")</f>
        <v>M5 - Règlementation nationale et internationale_15</v>
      </c>
      <c r="K48" s="118" t="str">
        <f>IF(ListeCours[[#This Row],[DATE]],D48&amp;"_"&amp;COUNTIF($D$3:D48,D48),"")</f>
        <v>R. FERRAND_7</v>
      </c>
      <c r="L48" s="109">
        <f>IF(ListeCours[[#This Row],[DATE]],MONTH(ListeCours[[#This Row],[DATE]]),"")</f>
        <v>5</v>
      </c>
      <c r="M48" s="107">
        <f>IF(ListeCours[[#This Row],[DATE]],COUNTIF($L$3:L48,L48),"")</f>
        <v>1</v>
      </c>
      <c r="N48" s="109">
        <f>IF(ListeCours[[#This Row],[DATE]],YEAR(ListeCours[[#This Row],[DATE]]),"")</f>
        <v>2023</v>
      </c>
      <c r="O48" s="109" t="str">
        <f>IF(ListeCours[[#This Row],[DATE]],CONCATENATE(ListeCours[[#This Row],[mois]],".",ListeCours[[#This Row],[freq.mois]],".",ListeCours[[#This Row],[année]]),"")</f>
        <v>5.1.2023</v>
      </c>
      <c r="P48" s="109" t="str">
        <f>IFERROR(VLOOKUP(ListeCours[[#This Row],[FORMATEUR]],tables!$G$20:$H$54,2,0),"")</f>
        <v>FERRA</v>
      </c>
      <c r="Q48" s="110">
        <f>IF(ListeCours[[#This Row],[DATE]],ROW()-ROW(ListeCours[[#Headers],[UNIQUE]]),"")</f>
        <v>46</v>
      </c>
    </row>
    <row r="49" spans="1:17" ht="24" hidden="1" customHeight="1" x14ac:dyDescent="0.25">
      <c r="A49" s="61" t="s">
        <v>297</v>
      </c>
      <c r="B49" s="60" t="s">
        <v>233</v>
      </c>
      <c r="C49" s="59">
        <v>45050</v>
      </c>
      <c r="D49" s="60" t="s">
        <v>277</v>
      </c>
      <c r="E49" s="62">
        <v>0.75</v>
      </c>
      <c r="F49" s="62">
        <v>0.83333333333333337</v>
      </c>
      <c r="G49" s="114">
        <f>IF(ListeCours[[#This Row],[DATE]],ListeCours[[#This Row],[HEURE DE FIN]]-ListeCours[[#This Row],[HEURE DE DÉBUT]],"")</f>
        <v>8.333333333333337E-2</v>
      </c>
      <c r="H49" s="63" t="s">
        <v>92</v>
      </c>
      <c r="I49" s="63"/>
      <c r="J49" s="117" t="str">
        <f>IF(ListeCours[[#This Row],[DATE]],A49&amp;"_"&amp;COUNTIF($A$3:A49,A49),"")</f>
        <v>M6 - Planification et optimisation exploitation transport et logistique_1</v>
      </c>
      <c r="K49" s="118" t="str">
        <f>IF(ListeCours[[#This Row],[DATE]],D49&amp;"_"&amp;COUNTIF($D$3:D49,D49),"")</f>
        <v>R. FERRAND_8</v>
      </c>
      <c r="L49" s="109">
        <f>IF(ListeCours[[#This Row],[DATE]],MONTH(ListeCours[[#This Row],[DATE]]),"")</f>
        <v>5</v>
      </c>
      <c r="M49" s="107">
        <f>IF(ListeCours[[#This Row],[DATE]],COUNTIF($L$3:L49,L49),"")</f>
        <v>2</v>
      </c>
      <c r="N49" s="109">
        <f>IF(ListeCours[[#This Row],[DATE]],YEAR(ListeCours[[#This Row],[DATE]]),"")</f>
        <v>2023</v>
      </c>
      <c r="O49" s="109" t="str">
        <f>IF(ListeCours[[#This Row],[DATE]],CONCATENATE(ListeCours[[#This Row],[mois]],".",ListeCours[[#This Row],[freq.mois]],".",ListeCours[[#This Row],[année]]),"")</f>
        <v>5.2.2023</v>
      </c>
      <c r="P49" s="109" t="str">
        <f>IFERROR(VLOOKUP(ListeCours[[#This Row],[FORMATEUR]],tables!$G$20:$H$54,2,0),"")</f>
        <v>FERRA</v>
      </c>
      <c r="Q49" s="110">
        <f>IF(ListeCours[[#This Row],[DATE]],ROW()-ROW(ListeCours[[#Headers],[UNIQUE]]),"")</f>
        <v>47</v>
      </c>
    </row>
    <row r="50" spans="1:17" ht="24" hidden="1" customHeight="1" x14ac:dyDescent="0.25">
      <c r="A50" s="61" t="s">
        <v>297</v>
      </c>
      <c r="B50" s="60" t="s">
        <v>233</v>
      </c>
      <c r="C50" s="59">
        <v>45051</v>
      </c>
      <c r="D50" s="60" t="s">
        <v>277</v>
      </c>
      <c r="E50" s="62">
        <v>0.70833333333333337</v>
      </c>
      <c r="F50" s="62">
        <v>0.83333333333333337</v>
      </c>
      <c r="G50" s="114">
        <f>IF(ListeCours[[#This Row],[DATE]],ListeCours[[#This Row],[HEURE DE FIN]]-ListeCours[[#This Row],[HEURE DE DÉBUT]],"")</f>
        <v>0.125</v>
      </c>
      <c r="H50" s="63" t="s">
        <v>92</v>
      </c>
      <c r="I50" s="63"/>
      <c r="J50" s="117" t="str">
        <f>IF(ListeCours[[#This Row],[DATE]],A50&amp;"_"&amp;COUNTIF($A$3:A50,A50),"")</f>
        <v>M6 - Planification et optimisation exploitation transport et logistique_2</v>
      </c>
      <c r="K50" s="118" t="str">
        <f>IF(ListeCours[[#This Row],[DATE]],D50&amp;"_"&amp;COUNTIF($D$3:D50,D50),"")</f>
        <v>R. FERRAND_9</v>
      </c>
      <c r="L50" s="109">
        <f>IF(ListeCours[[#This Row],[DATE]],MONTH(ListeCours[[#This Row],[DATE]]),"")</f>
        <v>5</v>
      </c>
      <c r="M50" s="107">
        <f>IF(ListeCours[[#This Row],[DATE]],COUNTIF($L$3:L50,L50),"")</f>
        <v>3</v>
      </c>
      <c r="N50" s="109">
        <f>IF(ListeCours[[#This Row],[DATE]],YEAR(ListeCours[[#This Row],[DATE]]),"")</f>
        <v>2023</v>
      </c>
      <c r="O50" s="109" t="str">
        <f>IF(ListeCours[[#This Row],[DATE]],CONCATENATE(ListeCours[[#This Row],[mois]],".",ListeCours[[#This Row],[freq.mois]],".",ListeCours[[#This Row],[année]]),"")</f>
        <v>5.3.2023</v>
      </c>
      <c r="P50" s="109" t="str">
        <f>IFERROR(VLOOKUP(ListeCours[[#This Row],[FORMATEUR]],tables!$G$20:$H$54,2,0),"")</f>
        <v>FERRA</v>
      </c>
      <c r="Q50" s="110">
        <f>IF(ListeCours[[#This Row],[DATE]],ROW()-ROW(ListeCours[[#Headers],[UNIQUE]]),"")</f>
        <v>48</v>
      </c>
    </row>
    <row r="51" spans="1:17" ht="24" hidden="1" customHeight="1" x14ac:dyDescent="0.25">
      <c r="A51" s="61" t="s">
        <v>297</v>
      </c>
      <c r="B51" s="60" t="s">
        <v>233</v>
      </c>
      <c r="C51" s="59">
        <v>45052</v>
      </c>
      <c r="D51" s="60" t="s">
        <v>277</v>
      </c>
      <c r="E51" s="62">
        <v>0.33333333333333331</v>
      </c>
      <c r="F51" s="62">
        <v>0.5</v>
      </c>
      <c r="G51" s="114">
        <f>IF(ListeCours[[#This Row],[DATE]],ListeCours[[#This Row],[HEURE DE FIN]]-ListeCours[[#This Row],[HEURE DE DÉBUT]],"")</f>
        <v>0.16666666666666669</v>
      </c>
      <c r="H51" s="63" t="s">
        <v>92</v>
      </c>
      <c r="I51" s="63"/>
      <c r="J51" s="117" t="str">
        <f>IF(ListeCours[[#This Row],[DATE]],A51&amp;"_"&amp;COUNTIF($A$3:A51,A51),"")</f>
        <v>M6 - Planification et optimisation exploitation transport et logistique_3</v>
      </c>
      <c r="K51" s="118" t="str">
        <f>IF(ListeCours[[#This Row],[DATE]],D51&amp;"_"&amp;COUNTIF($D$3:D51,D51),"")</f>
        <v>R. FERRAND_10</v>
      </c>
      <c r="L51" s="109">
        <f>IF(ListeCours[[#This Row],[DATE]],MONTH(ListeCours[[#This Row],[DATE]]),"")</f>
        <v>5</v>
      </c>
      <c r="M51" s="107">
        <f>IF(ListeCours[[#This Row],[DATE]],COUNTIF($L$3:L51,L51),"")</f>
        <v>4</v>
      </c>
      <c r="N51" s="109">
        <f>IF(ListeCours[[#This Row],[DATE]],YEAR(ListeCours[[#This Row],[DATE]]),"")</f>
        <v>2023</v>
      </c>
      <c r="O51" s="109" t="str">
        <f>IF(ListeCours[[#This Row],[DATE]],CONCATENATE(ListeCours[[#This Row],[mois]],".",ListeCours[[#This Row],[freq.mois]],".",ListeCours[[#This Row],[année]]),"")</f>
        <v>5.4.2023</v>
      </c>
      <c r="P51" s="109" t="str">
        <f>IFERROR(VLOOKUP(ListeCours[[#This Row],[FORMATEUR]],tables!$G$20:$H$54,2,0),"")</f>
        <v>FERRA</v>
      </c>
      <c r="Q51" s="110">
        <f>IF(ListeCours[[#This Row],[DATE]],ROW()-ROW(ListeCours[[#Headers],[UNIQUE]]),"")</f>
        <v>49</v>
      </c>
    </row>
    <row r="52" spans="1:17" ht="24" hidden="1" customHeight="1" x14ac:dyDescent="0.25">
      <c r="A52" s="61" t="s">
        <v>297</v>
      </c>
      <c r="B52" s="60" t="s">
        <v>233</v>
      </c>
      <c r="C52" s="59">
        <v>45057</v>
      </c>
      <c r="D52" s="60" t="s">
        <v>277</v>
      </c>
      <c r="E52" s="62">
        <v>0.70833333333333337</v>
      </c>
      <c r="F52" s="62">
        <v>0.83333333333333337</v>
      </c>
      <c r="G52" s="114">
        <f>IF(ListeCours[[#This Row],[DATE]],ListeCours[[#This Row],[HEURE DE FIN]]-ListeCours[[#This Row],[HEURE DE DÉBUT]],"")</f>
        <v>0.125</v>
      </c>
      <c r="H52" s="63" t="s">
        <v>92</v>
      </c>
      <c r="I52" s="63"/>
      <c r="J52" s="117" t="str">
        <f>IF(ListeCours[[#This Row],[DATE]],A52&amp;"_"&amp;COUNTIF($A$3:A52,A52),"")</f>
        <v>M6 - Planification et optimisation exploitation transport et logistique_4</v>
      </c>
      <c r="K52" s="118" t="str">
        <f>IF(ListeCours[[#This Row],[DATE]],D52&amp;"_"&amp;COUNTIF($D$3:D52,D52),"")</f>
        <v>R. FERRAND_11</v>
      </c>
      <c r="L52" s="109">
        <f>IF(ListeCours[[#This Row],[DATE]],MONTH(ListeCours[[#This Row],[DATE]]),"")</f>
        <v>5</v>
      </c>
      <c r="M52" s="107">
        <f>IF(ListeCours[[#This Row],[DATE]],COUNTIF($L$3:L52,L52),"")</f>
        <v>5</v>
      </c>
      <c r="N52" s="109">
        <f>IF(ListeCours[[#This Row],[DATE]],YEAR(ListeCours[[#This Row],[DATE]]),"")</f>
        <v>2023</v>
      </c>
      <c r="O52" s="109" t="str">
        <f>IF(ListeCours[[#This Row],[DATE]],CONCATENATE(ListeCours[[#This Row],[mois]],".",ListeCours[[#This Row],[freq.mois]],".",ListeCours[[#This Row],[année]]),"")</f>
        <v>5.5.2023</v>
      </c>
      <c r="P52" s="109" t="str">
        <f>IFERROR(VLOOKUP(ListeCours[[#This Row],[FORMATEUR]],tables!$G$20:$H$54,2,0),"")</f>
        <v>FERRA</v>
      </c>
      <c r="Q52" s="110">
        <f>IF(ListeCours[[#This Row],[DATE]],ROW()-ROW(ListeCours[[#Headers],[UNIQUE]]),"")</f>
        <v>50</v>
      </c>
    </row>
    <row r="53" spans="1:17" ht="24" hidden="1" customHeight="1" x14ac:dyDescent="0.25">
      <c r="A53" s="61" t="s">
        <v>297</v>
      </c>
      <c r="B53" s="60" t="s">
        <v>233</v>
      </c>
      <c r="C53" s="59">
        <v>45058</v>
      </c>
      <c r="D53" s="60" t="s">
        <v>277</v>
      </c>
      <c r="E53" s="62">
        <v>0.70833333333333337</v>
      </c>
      <c r="F53" s="62">
        <v>0.79166666666666663</v>
      </c>
      <c r="G53" s="114">
        <f>IF(ListeCours[[#This Row],[DATE]],ListeCours[[#This Row],[HEURE DE FIN]]-ListeCours[[#This Row],[HEURE DE DÉBUT]],"")</f>
        <v>8.3333333333333259E-2</v>
      </c>
      <c r="H53" s="63" t="s">
        <v>92</v>
      </c>
      <c r="I53" s="63"/>
      <c r="J53" s="117" t="str">
        <f>IF(ListeCours[[#This Row],[DATE]],A53&amp;"_"&amp;COUNTIF($A$3:A53,A53),"")</f>
        <v>M6 - Planification et optimisation exploitation transport et logistique_5</v>
      </c>
      <c r="K53" s="118" t="str">
        <f>IF(ListeCours[[#This Row],[DATE]],D53&amp;"_"&amp;COUNTIF($D$3:D53,D53),"")</f>
        <v>R. FERRAND_12</v>
      </c>
      <c r="L53" s="109">
        <f>IF(ListeCours[[#This Row],[DATE]],MONTH(ListeCours[[#This Row],[DATE]]),"")</f>
        <v>5</v>
      </c>
      <c r="M53" s="107">
        <f>IF(ListeCours[[#This Row],[DATE]],COUNTIF($L$3:L53,L53),"")</f>
        <v>6</v>
      </c>
      <c r="N53" s="109">
        <f>IF(ListeCours[[#This Row],[DATE]],YEAR(ListeCours[[#This Row],[DATE]]),"")</f>
        <v>2023</v>
      </c>
      <c r="O53" s="109" t="str">
        <f>IF(ListeCours[[#This Row],[DATE]],CONCATENATE(ListeCours[[#This Row],[mois]],".",ListeCours[[#This Row],[freq.mois]],".",ListeCours[[#This Row],[année]]),"")</f>
        <v>5.6.2023</v>
      </c>
      <c r="P53" s="109" t="str">
        <f>IFERROR(VLOOKUP(ListeCours[[#This Row],[FORMATEUR]],tables!$G$20:$H$54,2,0),"")</f>
        <v>FERRA</v>
      </c>
      <c r="Q53" s="110">
        <f>IF(ListeCours[[#This Row],[DATE]],ROW()-ROW(ListeCours[[#Headers],[UNIQUE]]),"")</f>
        <v>51</v>
      </c>
    </row>
    <row r="54" spans="1:17" ht="24" hidden="1" customHeight="1" x14ac:dyDescent="0.25">
      <c r="A54" s="61" t="s">
        <v>297</v>
      </c>
      <c r="B54" s="60" t="s">
        <v>234</v>
      </c>
      <c r="C54" s="59">
        <v>45059</v>
      </c>
      <c r="D54" s="60" t="s">
        <v>278</v>
      </c>
      <c r="E54" s="62">
        <v>0.33333333333333331</v>
      </c>
      <c r="F54" s="62">
        <v>0.5</v>
      </c>
      <c r="G54" s="114">
        <f>IF(ListeCours[[#This Row],[DATE]],ListeCours[[#This Row],[HEURE DE FIN]]-ListeCours[[#This Row],[HEURE DE DÉBUT]],"")</f>
        <v>0.16666666666666669</v>
      </c>
      <c r="H54" s="63" t="s">
        <v>92</v>
      </c>
      <c r="I54" s="63"/>
      <c r="J54" s="117" t="str">
        <f>IF(ListeCours[[#This Row],[DATE]],A54&amp;"_"&amp;COUNTIF($A$3:A54,A54),"")</f>
        <v>M6 - Planification et optimisation exploitation transport et logistique_6</v>
      </c>
      <c r="K54" s="118" t="str">
        <f>IF(ListeCours[[#This Row],[DATE]],D54&amp;"_"&amp;COUNTIF($D$3:D54,D54),"")</f>
        <v>C. MANOUKIAN_1</v>
      </c>
      <c r="L54" s="109">
        <f>IF(ListeCours[[#This Row],[DATE]],MONTH(ListeCours[[#This Row],[DATE]]),"")</f>
        <v>5</v>
      </c>
      <c r="M54" s="107">
        <f>IF(ListeCours[[#This Row],[DATE]],COUNTIF($L$3:L54,L54),"")</f>
        <v>7</v>
      </c>
      <c r="N54" s="109">
        <f>IF(ListeCours[[#This Row],[DATE]],YEAR(ListeCours[[#This Row],[DATE]]),"")</f>
        <v>2023</v>
      </c>
      <c r="O54" s="109" t="str">
        <f>IF(ListeCours[[#This Row],[DATE]],CONCATENATE(ListeCours[[#This Row],[mois]],".",ListeCours[[#This Row],[freq.mois]],".",ListeCours[[#This Row],[année]]),"")</f>
        <v>5.7.2023</v>
      </c>
      <c r="P54" s="109" t="str">
        <f>IFERROR(VLOOKUP(ListeCours[[#This Row],[FORMATEUR]],tables!$G$20:$H$54,2,0),"")</f>
        <v>MANO</v>
      </c>
      <c r="Q54" s="110">
        <f>IF(ListeCours[[#This Row],[DATE]],ROW()-ROW(ListeCours[[#Headers],[UNIQUE]]),"")</f>
        <v>52</v>
      </c>
    </row>
    <row r="55" spans="1:17" ht="24" hidden="1" customHeight="1" x14ac:dyDescent="0.25">
      <c r="A55" s="61" t="s">
        <v>297</v>
      </c>
      <c r="B55" s="60" t="s">
        <v>234</v>
      </c>
      <c r="C55" s="59">
        <v>45065</v>
      </c>
      <c r="D55" s="60" t="s">
        <v>278</v>
      </c>
      <c r="E55" s="62">
        <v>0.70833333333333337</v>
      </c>
      <c r="F55" s="62">
        <v>0.83333333333333337</v>
      </c>
      <c r="G55" s="114">
        <f>IF(ListeCours[[#This Row],[DATE]],ListeCours[[#This Row],[HEURE DE FIN]]-ListeCours[[#This Row],[HEURE DE DÉBUT]],"")</f>
        <v>0.125</v>
      </c>
      <c r="H55" s="63" t="s">
        <v>92</v>
      </c>
      <c r="I55" s="63"/>
      <c r="J55" s="117" t="str">
        <f>IF(ListeCours[[#This Row],[DATE]],A55&amp;"_"&amp;COUNTIF($A$3:A55,A55),"")</f>
        <v>M6 - Planification et optimisation exploitation transport et logistique_7</v>
      </c>
      <c r="K55" s="118" t="str">
        <f>IF(ListeCours[[#This Row],[DATE]],D55&amp;"_"&amp;COUNTIF($D$3:D55,D55),"")</f>
        <v>C. MANOUKIAN_2</v>
      </c>
      <c r="L55" s="109">
        <f>IF(ListeCours[[#This Row],[DATE]],MONTH(ListeCours[[#This Row],[DATE]]),"")</f>
        <v>5</v>
      </c>
      <c r="M55" s="107">
        <f>IF(ListeCours[[#This Row],[DATE]],COUNTIF($L$3:L55,L55),"")</f>
        <v>8</v>
      </c>
      <c r="N55" s="109">
        <f>IF(ListeCours[[#This Row],[DATE]],YEAR(ListeCours[[#This Row],[DATE]]),"")</f>
        <v>2023</v>
      </c>
      <c r="O55" s="109" t="str">
        <f>IF(ListeCours[[#This Row],[DATE]],CONCATENATE(ListeCours[[#This Row],[mois]],".",ListeCours[[#This Row],[freq.mois]],".",ListeCours[[#This Row],[année]]),"")</f>
        <v>5.8.2023</v>
      </c>
      <c r="P55" s="109" t="str">
        <f>IFERROR(VLOOKUP(ListeCours[[#This Row],[FORMATEUR]],tables!$G$20:$H$54,2,0),"")</f>
        <v>MANO</v>
      </c>
      <c r="Q55" s="110">
        <f>IF(ListeCours[[#This Row],[DATE]],ROW()-ROW(ListeCours[[#Headers],[UNIQUE]]),"")</f>
        <v>53</v>
      </c>
    </row>
    <row r="56" spans="1:17" ht="24" hidden="1" customHeight="1" x14ac:dyDescent="0.25">
      <c r="A56" s="61" t="s">
        <v>297</v>
      </c>
      <c r="B56" s="60" t="s">
        <v>234</v>
      </c>
      <c r="C56" s="59">
        <v>45066</v>
      </c>
      <c r="D56" s="60" t="s">
        <v>278</v>
      </c>
      <c r="E56" s="62">
        <v>0.33333333333333331</v>
      </c>
      <c r="F56" s="62">
        <v>0.5</v>
      </c>
      <c r="G56" s="114">
        <f>IF(ListeCours[[#This Row],[DATE]],ListeCours[[#This Row],[HEURE DE FIN]]-ListeCours[[#This Row],[HEURE DE DÉBUT]],"")</f>
        <v>0.16666666666666669</v>
      </c>
      <c r="H56" s="63" t="s">
        <v>92</v>
      </c>
      <c r="I56" s="63"/>
      <c r="J56" s="117" t="str">
        <f>IF(ListeCours[[#This Row],[DATE]],A56&amp;"_"&amp;COUNTIF($A$3:A56,A56),"")</f>
        <v>M6 - Planification et optimisation exploitation transport et logistique_8</v>
      </c>
      <c r="K56" s="118" t="str">
        <f>IF(ListeCours[[#This Row],[DATE]],D56&amp;"_"&amp;COUNTIF($D$3:D56,D56),"")</f>
        <v>C. MANOUKIAN_3</v>
      </c>
      <c r="L56" s="109">
        <f>IF(ListeCours[[#This Row],[DATE]],MONTH(ListeCours[[#This Row],[DATE]]),"")</f>
        <v>5</v>
      </c>
      <c r="M56" s="107">
        <f>IF(ListeCours[[#This Row],[DATE]],COUNTIF($L$3:L56,L56),"")</f>
        <v>9</v>
      </c>
      <c r="N56" s="109">
        <f>IF(ListeCours[[#This Row],[DATE]],YEAR(ListeCours[[#This Row],[DATE]]),"")</f>
        <v>2023</v>
      </c>
      <c r="O56" s="109" t="str">
        <f>IF(ListeCours[[#This Row],[DATE]],CONCATENATE(ListeCours[[#This Row],[mois]],".",ListeCours[[#This Row],[freq.mois]],".",ListeCours[[#This Row],[année]]),"")</f>
        <v>5.9.2023</v>
      </c>
      <c r="P56" s="109" t="str">
        <f>IFERROR(VLOOKUP(ListeCours[[#This Row],[FORMATEUR]],tables!$G$20:$H$54,2,0),"")</f>
        <v>MANO</v>
      </c>
      <c r="Q56" s="110">
        <f>IF(ListeCours[[#This Row],[DATE]],ROW()-ROW(ListeCours[[#Headers],[UNIQUE]]),"")</f>
        <v>54</v>
      </c>
    </row>
    <row r="57" spans="1:17" ht="24" hidden="1" customHeight="1" x14ac:dyDescent="0.25">
      <c r="A57" s="61" t="s">
        <v>298</v>
      </c>
      <c r="B57" s="60" t="s">
        <v>237</v>
      </c>
      <c r="C57" s="59">
        <v>45071</v>
      </c>
      <c r="D57" s="60" t="s">
        <v>276</v>
      </c>
      <c r="E57" s="62">
        <v>0.70833333333333337</v>
      </c>
      <c r="F57" s="62">
        <v>0.79166666666666663</v>
      </c>
      <c r="G57" s="114">
        <f>IF(ListeCours[[#This Row],[DATE]],ListeCours[[#This Row],[HEURE DE FIN]]-ListeCours[[#This Row],[HEURE DE DÉBUT]],"")</f>
        <v>8.3333333333333259E-2</v>
      </c>
      <c r="H57" s="63" t="s">
        <v>92</v>
      </c>
      <c r="I57" s="63"/>
      <c r="J57" s="117" t="str">
        <f>IF(ListeCours[[#This Row],[DATE]],A57&amp;"_"&amp;COUNTIF($A$3:A57,A57),"")</f>
        <v>M7 - Procédures RH et droit social_1</v>
      </c>
      <c r="K57" s="118" t="str">
        <f>IF(ListeCours[[#This Row],[DATE]],D57&amp;"_"&amp;COUNTIF($D$3:D57,D57),"")</f>
        <v>F. ETHEVE_1</v>
      </c>
      <c r="L57" s="109">
        <f>IF(ListeCours[[#This Row],[DATE]],MONTH(ListeCours[[#This Row],[DATE]]),"")</f>
        <v>5</v>
      </c>
      <c r="M57" s="107">
        <f>IF(ListeCours[[#This Row],[DATE]],COUNTIF($L$3:L57,L57),"")</f>
        <v>10</v>
      </c>
      <c r="N57" s="109">
        <f>IF(ListeCours[[#This Row],[DATE]],YEAR(ListeCours[[#This Row],[DATE]]),"")</f>
        <v>2023</v>
      </c>
      <c r="O57" s="109" t="str">
        <f>IF(ListeCours[[#This Row],[DATE]],CONCATENATE(ListeCours[[#This Row],[mois]],".",ListeCours[[#This Row],[freq.mois]],".",ListeCours[[#This Row],[année]]),"")</f>
        <v>5.10.2023</v>
      </c>
      <c r="P57" s="109" t="str">
        <f>IFERROR(VLOOKUP(ListeCours[[#This Row],[FORMATEUR]],tables!$G$20:$H$54,2,0),"")</f>
        <v>ETHEV</v>
      </c>
      <c r="Q57" s="110">
        <f>IF(ListeCours[[#This Row],[DATE]],ROW()-ROW(ListeCours[[#Headers],[UNIQUE]]),"")</f>
        <v>55</v>
      </c>
    </row>
    <row r="58" spans="1:17" ht="24" hidden="1" customHeight="1" x14ac:dyDescent="0.25">
      <c r="A58" s="61" t="s">
        <v>297</v>
      </c>
      <c r="B58" s="60" t="s">
        <v>235</v>
      </c>
      <c r="C58" s="59">
        <v>45071</v>
      </c>
      <c r="D58" s="60" t="s">
        <v>276</v>
      </c>
      <c r="E58" s="62">
        <v>0.79166666666666663</v>
      </c>
      <c r="F58" s="62">
        <v>0.83333333333333337</v>
      </c>
      <c r="G58" s="114">
        <f>IF(ListeCours[[#This Row],[DATE]],ListeCours[[#This Row],[HEURE DE FIN]]-ListeCours[[#This Row],[HEURE DE DÉBUT]],"")</f>
        <v>4.1666666666666741E-2</v>
      </c>
      <c r="H58" s="63" t="s">
        <v>92</v>
      </c>
      <c r="I58" s="63" t="s">
        <v>361</v>
      </c>
      <c r="J58" s="117" t="str">
        <f>IF(ListeCours[[#This Row],[DATE]],A58&amp;"_"&amp;COUNTIF($A$3:A58,A58),"")</f>
        <v>M6 - Planification et optimisation exploitation transport et logistique_9</v>
      </c>
      <c r="K58" s="118" t="str">
        <f>IF(ListeCours[[#This Row],[DATE]],D58&amp;"_"&amp;COUNTIF($D$3:D58,D58),"")</f>
        <v>F. ETHEVE_2</v>
      </c>
      <c r="L58" s="109">
        <f>IF(ListeCours[[#This Row],[DATE]],MONTH(ListeCours[[#This Row],[DATE]]),"")</f>
        <v>5</v>
      </c>
      <c r="M58" s="107">
        <f>IF(ListeCours[[#This Row],[DATE]],COUNTIF($L$3:L58,L58),"")</f>
        <v>11</v>
      </c>
      <c r="N58" s="109">
        <f>IF(ListeCours[[#This Row],[DATE]],YEAR(ListeCours[[#This Row],[DATE]]),"")</f>
        <v>2023</v>
      </c>
      <c r="O58" s="109" t="str">
        <f>IF(ListeCours[[#This Row],[DATE]],CONCATENATE(ListeCours[[#This Row],[mois]],".",ListeCours[[#This Row],[freq.mois]],".",ListeCours[[#This Row],[année]]),"")</f>
        <v>5.11.2023</v>
      </c>
      <c r="P58" s="109" t="str">
        <f>IFERROR(VLOOKUP(ListeCours[[#This Row],[FORMATEUR]],tables!$G$20:$H$54,2,0),"")</f>
        <v>ETHEV</v>
      </c>
      <c r="Q58" s="110">
        <f>IF(ListeCours[[#This Row],[DATE]],ROW()-ROW(ListeCours[[#Headers],[UNIQUE]]),"")</f>
        <v>56</v>
      </c>
    </row>
    <row r="59" spans="1:17" ht="24" hidden="1" customHeight="1" x14ac:dyDescent="0.25">
      <c r="A59" s="61" t="s">
        <v>297</v>
      </c>
      <c r="B59" s="60" t="s">
        <v>234</v>
      </c>
      <c r="C59" s="59">
        <v>45072</v>
      </c>
      <c r="D59" s="60" t="s">
        <v>278</v>
      </c>
      <c r="E59" s="62">
        <v>0.70833333333333337</v>
      </c>
      <c r="F59" s="62">
        <v>0.83333333333333337</v>
      </c>
      <c r="G59" s="114">
        <f>IF(ListeCours[[#This Row],[DATE]],ListeCours[[#This Row],[HEURE DE FIN]]-ListeCours[[#This Row],[HEURE DE DÉBUT]],"")</f>
        <v>0.125</v>
      </c>
      <c r="H59" s="63" t="s">
        <v>92</v>
      </c>
      <c r="I59" s="60"/>
      <c r="J59" s="119" t="str">
        <f>IF(ListeCours[[#This Row],[DATE]],A59&amp;"_"&amp;COUNTIF($A$3:A59,A59),"")</f>
        <v>M6 - Planification et optimisation exploitation transport et logistique_10</v>
      </c>
      <c r="K59" s="120" t="str">
        <f>IF(ListeCours[[#This Row],[DATE]],D59&amp;"_"&amp;COUNTIF($D$3:D59,D59),"")</f>
        <v>C. MANOUKIAN_4</v>
      </c>
      <c r="L59" s="109">
        <f>IF(ListeCours[[#This Row],[DATE]],MONTH(ListeCours[[#This Row],[DATE]]),"")</f>
        <v>5</v>
      </c>
      <c r="M59" s="107">
        <f>IF(ListeCours[[#This Row],[DATE]],COUNTIF($L$3:L59,L59),"")</f>
        <v>12</v>
      </c>
      <c r="N59" s="109">
        <f>IF(ListeCours[[#This Row],[DATE]],YEAR(ListeCours[[#This Row],[DATE]]),"")</f>
        <v>2023</v>
      </c>
      <c r="O59" s="109" t="str">
        <f>IF(ListeCours[[#This Row],[DATE]],CONCATENATE(ListeCours[[#This Row],[mois]],".",ListeCours[[#This Row],[freq.mois]],".",ListeCours[[#This Row],[année]]),"")</f>
        <v>5.12.2023</v>
      </c>
      <c r="P59" s="109" t="str">
        <f>IFERROR(VLOOKUP(ListeCours[[#This Row],[FORMATEUR]],tables!$G$20:$H$54,2,0),"")</f>
        <v>MANO</v>
      </c>
      <c r="Q59" s="110">
        <f>IF(ListeCours[[#This Row],[DATE]],ROW()-ROW(ListeCours[[#Headers],[UNIQUE]]),"")</f>
        <v>57</v>
      </c>
    </row>
    <row r="60" spans="1:17" ht="24" hidden="1" customHeight="1" x14ac:dyDescent="0.25">
      <c r="A60" s="61" t="s">
        <v>304</v>
      </c>
      <c r="B60" s="60" t="s">
        <v>65</v>
      </c>
      <c r="C60" s="59">
        <v>45073</v>
      </c>
      <c r="D60" s="60" t="s">
        <v>311</v>
      </c>
      <c r="E60" s="57">
        <v>0.33333333333333331</v>
      </c>
      <c r="F60" s="62">
        <v>0.5</v>
      </c>
      <c r="G60" s="114">
        <f>IF(ListeCours[[#This Row],[DATE]],ListeCours[[#This Row],[HEURE DE FIN]]-ListeCours[[#This Row],[HEURE DE DÉBUT]],"")</f>
        <v>0.16666666666666669</v>
      </c>
      <c r="H60" s="63" t="s">
        <v>92</v>
      </c>
      <c r="I60" s="63"/>
      <c r="J60" s="117" t="str">
        <f>IF(ListeCours[[#This Row],[DATE]],A60&amp;"_"&amp;COUNTIF($A$3:A60,A60),"")</f>
        <v>M13 - Accompagnement mémoire_4</v>
      </c>
      <c r="K60" s="118" t="str">
        <f>IF(ListeCours[[#This Row],[DATE]],D60&amp;"_"&amp;COUNTIF($D$3:D60,D60),"")</f>
        <v>S. LEBOURVELEC_1</v>
      </c>
      <c r="L60" s="109">
        <f>IF(ListeCours[[#This Row],[DATE]],MONTH(ListeCours[[#This Row],[DATE]]),"")</f>
        <v>5</v>
      </c>
      <c r="M60" s="107">
        <f>IF(ListeCours[[#This Row],[DATE]],COUNTIF($L$3:L60,L60),"")</f>
        <v>13</v>
      </c>
      <c r="N60" s="109">
        <f>IF(ListeCours[[#This Row],[DATE]],YEAR(ListeCours[[#This Row],[DATE]]),"")</f>
        <v>2023</v>
      </c>
      <c r="O60" s="109" t="str">
        <f>IF(ListeCours[[#This Row],[DATE]],CONCATENATE(ListeCours[[#This Row],[mois]],".",ListeCours[[#This Row],[freq.mois]],".",ListeCours[[#This Row],[année]]),"")</f>
        <v>5.13.2023</v>
      </c>
      <c r="P60" s="109" t="str">
        <f>IFERROR(VLOOKUP(ListeCours[[#This Row],[FORMATEUR]],tables!$G$20:$H$54,2,0),"")</f>
        <v>LEBOU</v>
      </c>
      <c r="Q60" s="110">
        <f>IF(ListeCours[[#This Row],[DATE]],ROW()-ROW(ListeCours[[#Headers],[UNIQUE]]),"")</f>
        <v>58</v>
      </c>
    </row>
    <row r="61" spans="1:17" ht="24" customHeight="1" x14ac:dyDescent="0.25">
      <c r="A61" s="61" t="s">
        <v>187</v>
      </c>
      <c r="B61" s="60" t="s">
        <v>225</v>
      </c>
      <c r="C61" s="59">
        <v>45078</v>
      </c>
      <c r="D61" s="60" t="s">
        <v>273</v>
      </c>
      <c r="E61" s="62">
        <v>0.70833333333333337</v>
      </c>
      <c r="F61" s="62">
        <v>0.83333333333333337</v>
      </c>
      <c r="G61" s="114">
        <f>IF(ListeCours[[#This Row],[DATE]],ListeCours[[#This Row],[HEURE DE FIN]]-ListeCours[[#This Row],[HEURE DE DÉBUT]],"")</f>
        <v>0.125</v>
      </c>
      <c r="H61" s="63" t="s">
        <v>92</v>
      </c>
      <c r="I61" s="63"/>
      <c r="J61" s="172" t="str">
        <f>IF(ListeCours[[#This Row],[DATE]],A61&amp;"_"&amp;COUNTIF($A$3:A61,A61),"")</f>
        <v>M3 - Gestion prévisionnelle des finances de l’entreprise_15</v>
      </c>
      <c r="K61" s="118" t="str">
        <f>IF(ListeCours[[#This Row],[DATE]],D61&amp;"_"&amp;COUNTIF($D$3:D61,D61),"")</f>
        <v>S. COURLY_15</v>
      </c>
      <c r="L61" s="109">
        <f>IF(ListeCours[[#This Row],[DATE]],MONTH(ListeCours[[#This Row],[DATE]]),"")</f>
        <v>6</v>
      </c>
      <c r="M61" s="109">
        <f>IF(ListeCours[[#This Row],[DATE]],COUNTIF($L$3:L61,L61),"")</f>
        <v>1</v>
      </c>
      <c r="N61" s="109">
        <f>IF(ListeCours[[#This Row],[DATE]],YEAR(ListeCours[[#This Row],[DATE]]),"")</f>
        <v>2023</v>
      </c>
      <c r="O61" s="109" t="str">
        <f>IF(ListeCours[[#This Row],[DATE]],CONCATENATE(ListeCours[[#This Row],[mois]],".",ListeCours[[#This Row],[freq.mois]],".",ListeCours[[#This Row],[année]]),"")</f>
        <v>6.1.2023</v>
      </c>
      <c r="P61" s="109" t="str">
        <f>IFERROR(VLOOKUP(ListeCours[[#This Row],[FORMATEUR]],tables!$G$20:$H$54,2,0),"")</f>
        <v>COURL</v>
      </c>
      <c r="Q61" s="173">
        <f>IF(ListeCours[[#This Row],[DATE]],ROW()-ROW(ListeCours[[#Headers],[UNIQUE]]),"")</f>
        <v>59</v>
      </c>
    </row>
    <row r="62" spans="1:17" ht="24" customHeight="1" x14ac:dyDescent="0.25">
      <c r="A62" s="61" t="s">
        <v>187</v>
      </c>
      <c r="B62" s="60" t="s">
        <v>225</v>
      </c>
      <c r="C62" s="59">
        <v>45079</v>
      </c>
      <c r="D62" s="60" t="s">
        <v>273</v>
      </c>
      <c r="E62" s="62">
        <v>0.70833333333333337</v>
      </c>
      <c r="F62" s="62">
        <v>0.83333333333333337</v>
      </c>
      <c r="G62" s="114">
        <f>IF(ListeCours[[#This Row],[DATE]],ListeCours[[#This Row],[HEURE DE FIN]]-ListeCours[[#This Row],[HEURE DE DÉBUT]],"")</f>
        <v>0.125</v>
      </c>
      <c r="H62" s="63" t="s">
        <v>92</v>
      </c>
      <c r="I62" s="63"/>
      <c r="J62" s="117" t="str">
        <f>IF(ListeCours[[#This Row],[DATE]],A62&amp;"_"&amp;COUNTIF($A$3:A62,A62),"")</f>
        <v>M3 - Gestion prévisionnelle des finances de l’entreprise_16</v>
      </c>
      <c r="K62" s="118" t="str">
        <f>IF(ListeCours[[#This Row],[DATE]],D62&amp;"_"&amp;COUNTIF($D$3:D62,D62),"")</f>
        <v>S. COURLY_16</v>
      </c>
      <c r="L62" s="109">
        <f>IF(ListeCours[[#This Row],[DATE]],MONTH(ListeCours[[#This Row],[DATE]]),"")</f>
        <v>6</v>
      </c>
      <c r="M62" s="107">
        <f>IF(ListeCours[[#This Row],[DATE]],COUNTIF($L$3:L62,L62),"")</f>
        <v>2</v>
      </c>
      <c r="N62" s="109">
        <f>IF(ListeCours[[#This Row],[DATE]],YEAR(ListeCours[[#This Row],[DATE]]),"")</f>
        <v>2023</v>
      </c>
      <c r="O62" s="109" t="str">
        <f>IF(ListeCours[[#This Row],[DATE]],CONCATENATE(ListeCours[[#This Row],[mois]],".",ListeCours[[#This Row],[freq.mois]],".",ListeCours[[#This Row],[année]]),"")</f>
        <v>6.2.2023</v>
      </c>
      <c r="P62" s="109" t="str">
        <f>IFERROR(VLOOKUP(ListeCours[[#This Row],[FORMATEUR]],tables!$G$20:$H$54,2,0),"")</f>
        <v>COURL</v>
      </c>
      <c r="Q62" s="110">
        <f>IF(ListeCours[[#This Row],[DATE]],ROW()-ROW(ListeCours[[#Headers],[UNIQUE]]),"")</f>
        <v>60</v>
      </c>
    </row>
    <row r="63" spans="1:17" ht="24" customHeight="1" x14ac:dyDescent="0.25">
      <c r="A63" s="61" t="s">
        <v>297</v>
      </c>
      <c r="B63" s="60" t="s">
        <v>236</v>
      </c>
      <c r="C63" s="59">
        <v>45085</v>
      </c>
      <c r="D63" s="60" t="s">
        <v>273</v>
      </c>
      <c r="E63" s="62">
        <v>0.75</v>
      </c>
      <c r="F63" s="62">
        <v>0.83333333333333337</v>
      </c>
      <c r="G63" s="114">
        <f>IF(ListeCours[[#This Row],[DATE]],ListeCours[[#This Row],[HEURE DE FIN]]-ListeCours[[#This Row],[HEURE DE DÉBUT]],"")</f>
        <v>8.333333333333337E-2</v>
      </c>
      <c r="H63" s="63" t="s">
        <v>92</v>
      </c>
      <c r="I63" s="63"/>
      <c r="J63" s="117" t="str">
        <f>IF(ListeCours[[#This Row],[DATE]],A63&amp;"_"&amp;COUNTIF($A$3:A63,A63),"")</f>
        <v>M6 - Planification et optimisation exploitation transport et logistique_11</v>
      </c>
      <c r="K63" s="118" t="str">
        <f>IF(ListeCours[[#This Row],[DATE]],D63&amp;"_"&amp;COUNTIF($D$3:D63,D63),"")</f>
        <v>S. COURLY_17</v>
      </c>
      <c r="L63" s="109">
        <f>IF(ListeCours[[#This Row],[DATE]],MONTH(ListeCours[[#This Row],[DATE]]),"")</f>
        <v>6</v>
      </c>
      <c r="M63" s="107">
        <f>IF(ListeCours[[#This Row],[DATE]],COUNTIF($L$3:L63,L63),"")</f>
        <v>3</v>
      </c>
      <c r="N63" s="109">
        <f>IF(ListeCours[[#This Row],[DATE]],YEAR(ListeCours[[#This Row],[DATE]]),"")</f>
        <v>2023</v>
      </c>
      <c r="O63" s="109" t="str">
        <f>IF(ListeCours[[#This Row],[DATE]],CONCATENATE(ListeCours[[#This Row],[mois]],".",ListeCours[[#This Row],[freq.mois]],".",ListeCours[[#This Row],[année]]),"")</f>
        <v>6.3.2023</v>
      </c>
      <c r="P63" s="109" t="str">
        <f>IFERROR(VLOOKUP(ListeCours[[#This Row],[FORMATEUR]],tables!$G$20:$H$54,2,0),"")</f>
        <v>COURL</v>
      </c>
      <c r="Q63" s="110">
        <f>IF(ListeCours[[#This Row],[DATE]],ROW()-ROW(ListeCours[[#Headers],[UNIQUE]]),"")</f>
        <v>61</v>
      </c>
    </row>
    <row r="64" spans="1:17" ht="24" customHeight="1" x14ac:dyDescent="0.25">
      <c r="A64" s="61" t="s">
        <v>297</v>
      </c>
      <c r="B64" s="60" t="s">
        <v>236</v>
      </c>
      <c r="C64" s="59">
        <v>45086</v>
      </c>
      <c r="D64" s="60" t="s">
        <v>273</v>
      </c>
      <c r="E64" s="62">
        <v>0.70833333333333337</v>
      </c>
      <c r="F64" s="62">
        <v>0.83333333333333337</v>
      </c>
      <c r="G64" s="114">
        <f>IF(ListeCours[[#This Row],[DATE]],ListeCours[[#This Row],[HEURE DE FIN]]-ListeCours[[#This Row],[HEURE DE DÉBUT]],"")</f>
        <v>0.125</v>
      </c>
      <c r="H64" s="63" t="s">
        <v>92</v>
      </c>
      <c r="I64" s="63"/>
      <c r="J64" s="117" t="str">
        <f>IF(ListeCours[[#This Row],[DATE]],A64&amp;"_"&amp;COUNTIF($A$3:A64,A64),"")</f>
        <v>M6 - Planification et optimisation exploitation transport et logistique_12</v>
      </c>
      <c r="K64" s="118" t="str">
        <f>IF(ListeCours[[#This Row],[DATE]],D64&amp;"_"&amp;COUNTIF($D$3:D64,D64),"")</f>
        <v>S. COURLY_18</v>
      </c>
      <c r="L64" s="109">
        <f>IF(ListeCours[[#This Row],[DATE]],MONTH(ListeCours[[#This Row],[DATE]]),"")</f>
        <v>6</v>
      </c>
      <c r="M64" s="107">
        <f>IF(ListeCours[[#This Row],[DATE]],COUNTIF($L$3:L64,L64),"")</f>
        <v>4</v>
      </c>
      <c r="N64" s="109">
        <f>IF(ListeCours[[#This Row],[DATE]],YEAR(ListeCours[[#This Row],[DATE]]),"")</f>
        <v>2023</v>
      </c>
      <c r="O64" s="109" t="str">
        <f>IF(ListeCours[[#This Row],[DATE]],CONCATENATE(ListeCours[[#This Row],[mois]],".",ListeCours[[#This Row],[freq.mois]],".",ListeCours[[#This Row],[année]]),"")</f>
        <v>6.4.2023</v>
      </c>
      <c r="P64" s="109" t="str">
        <f>IFERROR(VLOOKUP(ListeCours[[#This Row],[FORMATEUR]],tables!$G$20:$H$54,2,0),"")</f>
        <v>COURL</v>
      </c>
      <c r="Q64" s="110">
        <f>IF(ListeCours[[#This Row],[DATE]],ROW()-ROW(ListeCours[[#Headers],[UNIQUE]]),"")</f>
        <v>62</v>
      </c>
    </row>
    <row r="65" spans="1:17" ht="24" customHeight="1" x14ac:dyDescent="0.25">
      <c r="A65" s="61" t="s">
        <v>297</v>
      </c>
      <c r="B65" s="60" t="s">
        <v>236</v>
      </c>
      <c r="C65" s="59">
        <v>45092</v>
      </c>
      <c r="D65" s="60" t="s">
        <v>273</v>
      </c>
      <c r="E65" s="62">
        <v>0.70833333333333337</v>
      </c>
      <c r="F65" s="62">
        <v>0.83333333333333337</v>
      </c>
      <c r="G65" s="114">
        <f>IF(ListeCours[[#This Row],[DATE]],ListeCours[[#This Row],[HEURE DE FIN]]-ListeCours[[#This Row],[HEURE DE DÉBUT]],"")</f>
        <v>0.125</v>
      </c>
      <c r="H65" s="63" t="s">
        <v>92</v>
      </c>
      <c r="I65" s="63"/>
      <c r="J65" s="117" t="str">
        <f>IF(ListeCours[[#This Row],[DATE]],A65&amp;"_"&amp;COUNTIF($A$3:A65,A65),"")</f>
        <v>M6 - Planification et optimisation exploitation transport et logistique_13</v>
      </c>
      <c r="K65" s="118" t="str">
        <f>IF(ListeCours[[#This Row],[DATE]],D65&amp;"_"&amp;COUNTIF($D$3:D65,D65),"")</f>
        <v>S. COURLY_19</v>
      </c>
      <c r="L65" s="109">
        <f>IF(ListeCours[[#This Row],[DATE]],MONTH(ListeCours[[#This Row],[DATE]]),"")</f>
        <v>6</v>
      </c>
      <c r="M65" s="107">
        <f>IF(ListeCours[[#This Row],[DATE]],COUNTIF($L$3:L65,L65),"")</f>
        <v>5</v>
      </c>
      <c r="N65" s="109">
        <f>IF(ListeCours[[#This Row],[DATE]],YEAR(ListeCours[[#This Row],[DATE]]),"")</f>
        <v>2023</v>
      </c>
      <c r="O65" s="109" t="str">
        <f>IF(ListeCours[[#This Row],[DATE]],CONCATENATE(ListeCours[[#This Row],[mois]],".",ListeCours[[#This Row],[freq.mois]],".",ListeCours[[#This Row],[année]]),"")</f>
        <v>6.5.2023</v>
      </c>
      <c r="P65" s="109" t="str">
        <f>IFERROR(VLOOKUP(ListeCours[[#This Row],[FORMATEUR]],tables!$G$20:$H$54,2,0),"")</f>
        <v>COURL</v>
      </c>
      <c r="Q65" s="110">
        <f>IF(ListeCours[[#This Row],[DATE]],ROW()-ROW(ListeCours[[#Headers],[UNIQUE]]),"")</f>
        <v>63</v>
      </c>
    </row>
    <row r="66" spans="1:17" ht="24" customHeight="1" x14ac:dyDescent="0.25">
      <c r="A66" s="61" t="s">
        <v>297</v>
      </c>
      <c r="B66" s="60" t="s">
        <v>236</v>
      </c>
      <c r="C66" s="59">
        <v>45093</v>
      </c>
      <c r="D66" s="60" t="s">
        <v>273</v>
      </c>
      <c r="E66" s="62">
        <v>0.70833333333333337</v>
      </c>
      <c r="F66" s="62">
        <v>0.83333333333333337</v>
      </c>
      <c r="G66" s="114">
        <f>IF(ListeCours[[#This Row],[DATE]],ListeCours[[#This Row],[HEURE DE FIN]]-ListeCours[[#This Row],[HEURE DE DÉBUT]],"")</f>
        <v>0.125</v>
      </c>
      <c r="H66" s="63" t="s">
        <v>92</v>
      </c>
      <c r="I66" s="63"/>
      <c r="J66" s="117" t="str">
        <f>IF(ListeCours[[#This Row],[DATE]],A66&amp;"_"&amp;COUNTIF($A$3:A66,A66),"")</f>
        <v>M6 - Planification et optimisation exploitation transport et logistique_14</v>
      </c>
      <c r="K66" s="118" t="str">
        <f>IF(ListeCours[[#This Row],[DATE]],D66&amp;"_"&amp;COUNTIF($D$3:D66,D66),"")</f>
        <v>S. COURLY_20</v>
      </c>
      <c r="L66" s="109">
        <f>IF(ListeCours[[#This Row],[DATE]],MONTH(ListeCours[[#This Row],[DATE]]),"")</f>
        <v>6</v>
      </c>
      <c r="M66" s="107">
        <f>IF(ListeCours[[#This Row],[DATE]],COUNTIF($L$3:L66,L66),"")</f>
        <v>6</v>
      </c>
      <c r="N66" s="109">
        <f>IF(ListeCours[[#This Row],[DATE]],YEAR(ListeCours[[#This Row],[DATE]]),"")</f>
        <v>2023</v>
      </c>
      <c r="O66" s="109" t="str">
        <f>IF(ListeCours[[#This Row],[DATE]],CONCATENATE(ListeCours[[#This Row],[mois]],".",ListeCours[[#This Row],[freq.mois]],".",ListeCours[[#This Row],[année]]),"")</f>
        <v>6.6.2023</v>
      </c>
      <c r="P66" s="109" t="str">
        <f>IFERROR(VLOOKUP(ListeCours[[#This Row],[FORMATEUR]],tables!$G$20:$H$54,2,0),"")</f>
        <v>COURL</v>
      </c>
      <c r="Q66" s="110">
        <f>IF(ListeCours[[#This Row],[DATE]],ROW()-ROW(ListeCours[[#Headers],[UNIQUE]]),"")</f>
        <v>64</v>
      </c>
    </row>
    <row r="67" spans="1:17" ht="24" hidden="1" customHeight="1" x14ac:dyDescent="0.25">
      <c r="A67" s="61" t="s">
        <v>256</v>
      </c>
      <c r="B67" s="60" t="s">
        <v>382</v>
      </c>
      <c r="C67" s="59">
        <v>45094</v>
      </c>
      <c r="D67" s="60"/>
      <c r="E67" s="62">
        <v>0.33333333333333331</v>
      </c>
      <c r="F67" s="62">
        <v>0.39583333333333331</v>
      </c>
      <c r="G67" s="114">
        <f>IF(ListeCours[[#This Row],[DATE]],ListeCours[[#This Row],[HEURE DE FIN]]-ListeCours[[#This Row],[HEURE DE DÉBUT]],"")</f>
        <v>6.25E-2</v>
      </c>
      <c r="H67" s="63" t="s">
        <v>92</v>
      </c>
      <c r="I67" s="63" t="s">
        <v>383</v>
      </c>
      <c r="J67" s="117" t="str">
        <f>IF(ListeCours[[#This Row],[DATE]],A67&amp;"_"&amp;COUNTIF($A$3:A67,A67),"")</f>
        <v>Evaluation BC1_2</v>
      </c>
      <c r="K67" s="118" t="str">
        <f>IF(ListeCours[[#This Row],[DATE]],D67&amp;"_"&amp;COUNTIF($D$3:D67,D67),"")</f>
        <v>_0</v>
      </c>
      <c r="L67" s="109">
        <f>IF(ListeCours[[#This Row],[DATE]],MONTH(ListeCours[[#This Row],[DATE]]),"")</f>
        <v>6</v>
      </c>
      <c r="M67" s="107">
        <f>IF(ListeCours[[#This Row],[DATE]],COUNTIF($L$3:L67,L67),"")</f>
        <v>7</v>
      </c>
      <c r="N67" s="109">
        <f>IF(ListeCours[[#This Row],[DATE]],YEAR(ListeCours[[#This Row],[DATE]]),"")</f>
        <v>2023</v>
      </c>
      <c r="O67" s="109" t="str">
        <f>IF(ListeCours[[#This Row],[DATE]],CONCATENATE(ListeCours[[#This Row],[mois]],".",ListeCours[[#This Row],[freq.mois]],".",ListeCours[[#This Row],[année]]),"")</f>
        <v>6.7.2023</v>
      </c>
      <c r="P67" s="109" t="str">
        <f>IFERROR(VLOOKUP(ListeCours[[#This Row],[FORMATEUR]],tables!$G$20:$H$54,2,0),"")</f>
        <v/>
      </c>
      <c r="Q67" s="110">
        <f>IF(ListeCours[[#This Row],[DATE]],ROW()-ROW(ListeCours[[#Headers],[UNIQUE]]),"")</f>
        <v>65</v>
      </c>
    </row>
    <row r="68" spans="1:17" ht="24" customHeight="1" x14ac:dyDescent="0.25">
      <c r="A68" s="61" t="s">
        <v>297</v>
      </c>
      <c r="B68" s="60" t="s">
        <v>236</v>
      </c>
      <c r="C68" s="59">
        <v>45099</v>
      </c>
      <c r="D68" s="60" t="s">
        <v>273</v>
      </c>
      <c r="E68" s="62">
        <v>0.70833333333333337</v>
      </c>
      <c r="F68" s="62">
        <v>0.83333333333333337</v>
      </c>
      <c r="G68" s="114">
        <f>IF(ListeCours[[#This Row],[DATE]],ListeCours[[#This Row],[HEURE DE FIN]]-ListeCours[[#This Row],[HEURE DE DÉBUT]],"")</f>
        <v>0.125</v>
      </c>
      <c r="H68" s="63" t="s">
        <v>92</v>
      </c>
      <c r="I68" s="63"/>
      <c r="J68" s="172" t="str">
        <f>IF(ListeCours[[#This Row],[DATE]],A68&amp;"_"&amp;COUNTIF($A$3:A68,A68),"")</f>
        <v>M6 - Planification et optimisation exploitation transport et logistique_15</v>
      </c>
      <c r="K68" s="118" t="str">
        <f>IF(ListeCours[[#This Row],[DATE]],D68&amp;"_"&amp;COUNTIF($D$3:D68,D68),"")</f>
        <v>S. COURLY_21</v>
      </c>
      <c r="L68" s="109">
        <f>IF(ListeCours[[#This Row],[DATE]],MONTH(ListeCours[[#This Row],[DATE]]),"")</f>
        <v>6</v>
      </c>
      <c r="M68" s="109">
        <f>IF(ListeCours[[#This Row],[DATE]],COUNTIF($L$3:L68,L68),"")</f>
        <v>8</v>
      </c>
      <c r="N68" s="109">
        <f>IF(ListeCours[[#This Row],[DATE]],YEAR(ListeCours[[#This Row],[DATE]]),"")</f>
        <v>2023</v>
      </c>
      <c r="O68" s="109" t="str">
        <f>IF(ListeCours[[#This Row],[DATE]],CONCATENATE(ListeCours[[#This Row],[mois]],".",ListeCours[[#This Row],[freq.mois]],".",ListeCours[[#This Row],[année]]),"")</f>
        <v>6.8.2023</v>
      </c>
      <c r="P68" s="109" t="str">
        <f>IFERROR(VLOOKUP(ListeCours[[#This Row],[FORMATEUR]],tables!$G$20:$H$54,2,0),"")</f>
        <v>COURL</v>
      </c>
      <c r="Q68" s="173">
        <f>IF(ListeCours[[#This Row],[DATE]],ROW()-ROW(ListeCours[[#Headers],[UNIQUE]]),"")</f>
        <v>66</v>
      </c>
    </row>
    <row r="69" spans="1:17" ht="24" customHeight="1" x14ac:dyDescent="0.25">
      <c r="A69" s="61" t="s">
        <v>298</v>
      </c>
      <c r="B69" s="60" t="s">
        <v>239</v>
      </c>
      <c r="C69" s="59">
        <v>45100</v>
      </c>
      <c r="D69" s="60" t="s">
        <v>272</v>
      </c>
      <c r="E69" s="62">
        <v>0.70833333333333337</v>
      </c>
      <c r="F69" s="62">
        <v>0.83333333333333337</v>
      </c>
      <c r="G69" s="114">
        <f>IF(ListeCours[[#This Row],[DATE]],ListeCours[[#This Row],[HEURE DE FIN]]-ListeCours[[#This Row],[HEURE DE DÉBUT]],"")</f>
        <v>0.125</v>
      </c>
      <c r="H69" s="63" t="s">
        <v>92</v>
      </c>
      <c r="I69" s="63"/>
      <c r="J69" s="117" t="str">
        <f>IF(ListeCours[[#This Row],[DATE]],A69&amp;"_"&amp;COUNTIF($A$3:A69,A69),"")</f>
        <v>M7 - Procédures RH et droit social_2</v>
      </c>
      <c r="K69" s="118" t="str">
        <f>IF(ListeCours[[#This Row],[DATE]],D69&amp;"_"&amp;COUNTIF($D$3:D69,D69),"")</f>
        <v>R. QUILLET_12</v>
      </c>
      <c r="L69" s="109">
        <f>IF(ListeCours[[#This Row],[DATE]],MONTH(ListeCours[[#This Row],[DATE]]),"")</f>
        <v>6</v>
      </c>
      <c r="M69" s="107">
        <f>IF(ListeCours[[#This Row],[DATE]],COUNTIF($L$3:L69,L69),"")</f>
        <v>9</v>
      </c>
      <c r="N69" s="109">
        <f>IF(ListeCours[[#This Row],[DATE]],YEAR(ListeCours[[#This Row],[DATE]]),"")</f>
        <v>2023</v>
      </c>
      <c r="O69" s="109" t="str">
        <f>IF(ListeCours[[#This Row],[DATE]],CONCATENATE(ListeCours[[#This Row],[mois]],".",ListeCours[[#This Row],[freq.mois]],".",ListeCours[[#This Row],[année]]),"")</f>
        <v>6.9.2023</v>
      </c>
      <c r="P69" s="109" t="str">
        <f>IFERROR(VLOOKUP(ListeCours[[#This Row],[FORMATEUR]],tables!$G$20:$H$54,2,0),"")</f>
        <v>QUILL</v>
      </c>
      <c r="Q69" s="110">
        <f>IF(ListeCours[[#This Row],[DATE]],ROW()-ROW(ListeCours[[#Headers],[UNIQUE]]),"")</f>
        <v>67</v>
      </c>
    </row>
    <row r="70" spans="1:17" ht="24" hidden="1" customHeight="1" x14ac:dyDescent="0.25">
      <c r="A70" s="61" t="s">
        <v>304</v>
      </c>
      <c r="B70" s="60" t="s">
        <v>65</v>
      </c>
      <c r="C70" s="59">
        <v>45101</v>
      </c>
      <c r="D70" s="60" t="s">
        <v>310</v>
      </c>
      <c r="E70" s="57">
        <v>0.33333333333333331</v>
      </c>
      <c r="F70" s="62">
        <v>0.5</v>
      </c>
      <c r="G70" s="114">
        <f>IF(ListeCours[[#This Row],[DATE]],ListeCours[[#This Row],[HEURE DE FIN]]-ListeCours[[#This Row],[HEURE DE DÉBUT]],"")</f>
        <v>0.16666666666666669</v>
      </c>
      <c r="H70" s="63" t="s">
        <v>92</v>
      </c>
      <c r="I70" s="63"/>
      <c r="J70" s="117" t="str">
        <f>IF(ListeCours[[#This Row],[DATE]],A70&amp;"_"&amp;COUNTIF($A$3:A70,A70),"")</f>
        <v>M13 - Accompagnement mémoire_5</v>
      </c>
      <c r="K70" s="118" t="str">
        <f>IF(ListeCours[[#This Row],[DATE]],D70&amp;"_"&amp;COUNTIF($D$3:D70,D70),"")</f>
        <v>A. NAYLS_6</v>
      </c>
      <c r="L70" s="109">
        <f>IF(ListeCours[[#This Row],[DATE]],MONTH(ListeCours[[#This Row],[DATE]]),"")</f>
        <v>6</v>
      </c>
      <c r="M70" s="107">
        <f>IF(ListeCours[[#This Row],[DATE]],COUNTIF($L$3:L70,L70),"")</f>
        <v>10</v>
      </c>
      <c r="N70" s="109">
        <f>IF(ListeCours[[#This Row],[DATE]],YEAR(ListeCours[[#This Row],[DATE]]),"")</f>
        <v>2023</v>
      </c>
      <c r="O70" s="109" t="str">
        <f>IF(ListeCours[[#This Row],[DATE]],CONCATENATE(ListeCours[[#This Row],[mois]],".",ListeCours[[#This Row],[freq.mois]],".",ListeCours[[#This Row],[année]]),"")</f>
        <v>6.10.2023</v>
      </c>
      <c r="P70" s="109" t="str">
        <f>IFERROR(VLOOKUP(ListeCours[[#This Row],[FORMATEUR]],tables!$G$20:$H$54,2,0),"")</f>
        <v>NAYLS</v>
      </c>
      <c r="Q70" s="110">
        <f>IF(ListeCours[[#This Row],[DATE]],ROW()-ROW(ListeCours[[#Headers],[UNIQUE]]),"")</f>
        <v>68</v>
      </c>
    </row>
    <row r="71" spans="1:17" ht="24" customHeight="1" x14ac:dyDescent="0.25">
      <c r="A71" s="61" t="s">
        <v>298</v>
      </c>
      <c r="B71" s="60" t="s">
        <v>239</v>
      </c>
      <c r="C71" s="59">
        <v>45106</v>
      </c>
      <c r="D71" s="60" t="s">
        <v>272</v>
      </c>
      <c r="E71" s="62">
        <v>0.70833333333333337</v>
      </c>
      <c r="F71" s="62">
        <v>0.83333333333333337</v>
      </c>
      <c r="G71" s="114">
        <f>IF(ListeCours[[#This Row],[DATE]],ListeCours[[#This Row],[HEURE DE FIN]]-ListeCours[[#This Row],[HEURE DE DÉBUT]],"")</f>
        <v>0.125</v>
      </c>
      <c r="H71" s="63" t="s">
        <v>92</v>
      </c>
      <c r="I71" s="63"/>
      <c r="J71" s="117" t="str">
        <f>IF(ListeCours[[#This Row],[DATE]],A71&amp;"_"&amp;COUNTIF($A$3:A71,A71),"")</f>
        <v>M7 - Procédures RH et droit social_3</v>
      </c>
      <c r="K71" s="118" t="str">
        <f>IF(ListeCours[[#This Row],[DATE]],D71&amp;"_"&amp;COUNTIF($D$3:D71,D71),"")</f>
        <v>R. QUILLET_13</v>
      </c>
      <c r="L71" s="109">
        <f>IF(ListeCours[[#This Row],[DATE]],MONTH(ListeCours[[#This Row],[DATE]]),"")</f>
        <v>6</v>
      </c>
      <c r="M71" s="107">
        <f>IF(ListeCours[[#This Row],[DATE]],COUNTIF($L$3:L71,L71),"")</f>
        <v>11</v>
      </c>
      <c r="N71" s="109">
        <f>IF(ListeCours[[#This Row],[DATE]],YEAR(ListeCours[[#This Row],[DATE]]),"")</f>
        <v>2023</v>
      </c>
      <c r="O71" s="109" t="str">
        <f>IF(ListeCours[[#This Row],[DATE]],CONCATENATE(ListeCours[[#This Row],[mois]],".",ListeCours[[#This Row],[freq.mois]],".",ListeCours[[#This Row],[année]]),"")</f>
        <v>6.11.2023</v>
      </c>
      <c r="P71" s="109" t="str">
        <f>IFERROR(VLOOKUP(ListeCours[[#This Row],[FORMATEUR]],tables!$G$20:$H$54,2,0),"")</f>
        <v>QUILL</v>
      </c>
      <c r="Q71" s="110">
        <f>IF(ListeCours[[#This Row],[DATE]],ROW()-ROW(ListeCours[[#Headers],[UNIQUE]]),"")</f>
        <v>69</v>
      </c>
    </row>
    <row r="72" spans="1:17" ht="24" customHeight="1" x14ac:dyDescent="0.25">
      <c r="A72" s="61" t="s">
        <v>298</v>
      </c>
      <c r="B72" s="60" t="s">
        <v>239</v>
      </c>
      <c r="C72" s="59">
        <v>45107</v>
      </c>
      <c r="D72" s="60" t="s">
        <v>272</v>
      </c>
      <c r="E72" s="62">
        <v>0.70833333333333337</v>
      </c>
      <c r="F72" s="62">
        <v>0.79166666666666663</v>
      </c>
      <c r="G72" s="114">
        <f>IF(ListeCours[[#This Row],[DATE]],ListeCours[[#This Row],[HEURE DE FIN]]-ListeCours[[#This Row],[HEURE DE DÉBUT]],"")</f>
        <v>8.3333333333333259E-2</v>
      </c>
      <c r="H72" s="63" t="s">
        <v>92</v>
      </c>
      <c r="I72" s="63"/>
      <c r="J72" s="117" t="str">
        <f>IF(ListeCours[[#This Row],[DATE]],A72&amp;"_"&amp;COUNTIF($A$3:A72,A72),"")</f>
        <v>M7 - Procédures RH et droit social_4</v>
      </c>
      <c r="K72" s="118" t="str">
        <f>IF(ListeCours[[#This Row],[DATE]],D72&amp;"_"&amp;COUNTIF($D$3:D72,D72),"")</f>
        <v>R. QUILLET_14</v>
      </c>
      <c r="L72" s="109">
        <f>IF(ListeCours[[#This Row],[DATE]],MONTH(ListeCours[[#This Row],[DATE]]),"")</f>
        <v>6</v>
      </c>
      <c r="M72" s="107">
        <f>IF(ListeCours[[#This Row],[DATE]],COUNTIF($L$3:L72,L72),"")</f>
        <v>12</v>
      </c>
      <c r="N72" s="109">
        <f>IF(ListeCours[[#This Row],[DATE]],YEAR(ListeCours[[#This Row],[DATE]]),"")</f>
        <v>2023</v>
      </c>
      <c r="O72" s="109" t="str">
        <f>IF(ListeCours[[#This Row],[DATE]],CONCATENATE(ListeCours[[#This Row],[mois]],".",ListeCours[[#This Row],[freq.mois]],".",ListeCours[[#This Row],[année]]),"")</f>
        <v>6.12.2023</v>
      </c>
      <c r="P72" s="109" t="str">
        <f>IFERROR(VLOOKUP(ListeCours[[#This Row],[FORMATEUR]],tables!$G$20:$H$54,2,0),"")</f>
        <v>QUILL</v>
      </c>
      <c r="Q72" s="110">
        <f>IF(ListeCours[[#This Row],[DATE]],ROW()-ROW(ListeCours[[#Headers],[UNIQUE]]),"")</f>
        <v>70</v>
      </c>
    </row>
    <row r="73" spans="1:17" ht="24" customHeight="1" x14ac:dyDescent="0.25">
      <c r="A73" s="61" t="s">
        <v>298</v>
      </c>
      <c r="B73" s="60" t="s">
        <v>239</v>
      </c>
      <c r="C73" s="59">
        <v>45108</v>
      </c>
      <c r="D73" s="60" t="s">
        <v>272</v>
      </c>
      <c r="E73" s="62">
        <v>0.33333333333333331</v>
      </c>
      <c r="F73" s="62">
        <v>0.5</v>
      </c>
      <c r="G73" s="114">
        <f>IF(ListeCours[[#This Row],[DATE]],ListeCours[[#This Row],[HEURE DE FIN]]-ListeCours[[#This Row],[HEURE DE DÉBUT]],"")</f>
        <v>0.16666666666666669</v>
      </c>
      <c r="H73" s="63" t="s">
        <v>92</v>
      </c>
      <c r="I73" s="63"/>
      <c r="J73" s="117" t="str">
        <f>IF(ListeCours[[#This Row],[DATE]],A73&amp;"_"&amp;COUNTIF($A$3:A73,A73),"")</f>
        <v>M7 - Procédures RH et droit social_5</v>
      </c>
      <c r="K73" s="118" t="str">
        <f>IF(ListeCours[[#This Row],[DATE]],D73&amp;"_"&amp;COUNTIF($D$3:D73,D73),"")</f>
        <v>R. QUILLET_15</v>
      </c>
      <c r="L73" s="109">
        <f>IF(ListeCours[[#This Row],[DATE]],MONTH(ListeCours[[#This Row],[DATE]]),"")</f>
        <v>7</v>
      </c>
      <c r="M73" s="107">
        <f>IF(ListeCours[[#This Row],[DATE]],COUNTIF($L$3:L73,L73),"")</f>
        <v>1</v>
      </c>
      <c r="N73" s="109">
        <f>IF(ListeCours[[#This Row],[DATE]],YEAR(ListeCours[[#This Row],[DATE]]),"")</f>
        <v>2023</v>
      </c>
      <c r="O73" s="109" t="str">
        <f>IF(ListeCours[[#This Row],[DATE]],CONCATENATE(ListeCours[[#This Row],[mois]],".",ListeCours[[#This Row],[freq.mois]],".",ListeCours[[#This Row],[année]]),"")</f>
        <v>7.1.2023</v>
      </c>
      <c r="P73" s="109" t="str">
        <f>IFERROR(VLOOKUP(ListeCours[[#This Row],[FORMATEUR]],tables!$G$20:$H$54,2,0),"")</f>
        <v>QUILL</v>
      </c>
      <c r="Q73" s="110">
        <f>IF(ListeCours[[#This Row],[DATE]],ROW()-ROW(ListeCours[[#Headers],[UNIQUE]]),"")</f>
        <v>71</v>
      </c>
    </row>
    <row r="74" spans="1:17" ht="24" hidden="1" customHeight="1" x14ac:dyDescent="0.25">
      <c r="A74" s="61" t="s">
        <v>299</v>
      </c>
      <c r="B74" s="60" t="s">
        <v>242</v>
      </c>
      <c r="C74" s="59">
        <v>45113</v>
      </c>
      <c r="D74" s="60" t="s">
        <v>341</v>
      </c>
      <c r="E74" s="62">
        <v>0.70833333333333337</v>
      </c>
      <c r="F74" s="62">
        <v>0.83333333333333337</v>
      </c>
      <c r="G74" s="114">
        <f>IF(ListeCours[[#This Row],[DATE]],ListeCours[[#This Row],[HEURE DE FIN]]-ListeCours[[#This Row],[HEURE DE DÉBUT]],"")</f>
        <v>0.125</v>
      </c>
      <c r="H74" s="63" t="s">
        <v>92</v>
      </c>
      <c r="I74" s="63"/>
      <c r="J74" s="117" t="str">
        <f>IF(ListeCours[[#This Row],[DATE]],A74&amp;"_"&amp;COUNTIF($A$3:A74,A74),"")</f>
        <v>M8 - IRP et politique QHSSE_1</v>
      </c>
      <c r="K74" s="118" t="str">
        <f>IF(ListeCours[[#This Row],[DATE]],D74&amp;"_"&amp;COUNTIF($D$3:D74,D74),"")</f>
        <v>V. LE ROUX_1</v>
      </c>
      <c r="L74" s="109">
        <f>IF(ListeCours[[#This Row],[DATE]],MONTH(ListeCours[[#This Row],[DATE]]),"")</f>
        <v>7</v>
      </c>
      <c r="M74" s="107">
        <f>IF(ListeCours[[#This Row],[DATE]],COUNTIF($L$3:L74,L74),"")</f>
        <v>2</v>
      </c>
      <c r="N74" s="109">
        <f>IF(ListeCours[[#This Row],[DATE]],YEAR(ListeCours[[#This Row],[DATE]]),"")</f>
        <v>2023</v>
      </c>
      <c r="O74" s="109" t="str">
        <f>IF(ListeCours[[#This Row],[DATE]],CONCATENATE(ListeCours[[#This Row],[mois]],".",ListeCours[[#This Row],[freq.mois]],".",ListeCours[[#This Row],[année]]),"")</f>
        <v>7.2.2023</v>
      </c>
      <c r="P74" s="109" t="str">
        <f>IFERROR(VLOOKUP(ListeCours[[#This Row],[FORMATEUR]],tables!$G$20:$H$54,2,0),"")</f>
        <v>LEROU</v>
      </c>
      <c r="Q74" s="110">
        <f>IF(ListeCours[[#This Row],[DATE]],ROW()-ROW(ListeCours[[#Headers],[UNIQUE]]),"")</f>
        <v>72</v>
      </c>
    </row>
    <row r="75" spans="1:17" ht="24" hidden="1" customHeight="1" x14ac:dyDescent="0.25">
      <c r="A75" s="61" t="s">
        <v>298</v>
      </c>
      <c r="B75" s="60" t="s">
        <v>240</v>
      </c>
      <c r="C75" s="59">
        <v>45114</v>
      </c>
      <c r="D75" s="60" t="s">
        <v>276</v>
      </c>
      <c r="E75" s="62">
        <v>0.66666666666666663</v>
      </c>
      <c r="F75" s="62">
        <v>0.83333333333333337</v>
      </c>
      <c r="G75" s="114">
        <f>IF(ListeCours[[#This Row],[DATE]],ListeCours[[#This Row],[HEURE DE FIN]]-ListeCours[[#This Row],[HEURE DE DÉBUT]],"")</f>
        <v>0.16666666666666674</v>
      </c>
      <c r="H75" s="63" t="s">
        <v>92</v>
      </c>
      <c r="I75" s="63"/>
      <c r="J75" s="117" t="str">
        <f>IF(ListeCours[[#This Row],[DATE]],A75&amp;"_"&amp;COUNTIF($A$3:A75,A75),"")</f>
        <v>M7 - Procédures RH et droit social_6</v>
      </c>
      <c r="K75" s="118" t="str">
        <f>IF(ListeCours[[#This Row],[DATE]],D75&amp;"_"&amp;COUNTIF($D$3:D75,D75),"")</f>
        <v>F. ETHEVE_3</v>
      </c>
      <c r="L75" s="109">
        <f>IF(ListeCours[[#This Row],[DATE]],MONTH(ListeCours[[#This Row],[DATE]]),"")</f>
        <v>7</v>
      </c>
      <c r="M75" s="107">
        <f>IF(ListeCours[[#This Row],[DATE]],COUNTIF($L$3:L75,L75),"")</f>
        <v>3</v>
      </c>
      <c r="N75" s="109">
        <f>IF(ListeCours[[#This Row],[DATE]],YEAR(ListeCours[[#This Row],[DATE]]),"")</f>
        <v>2023</v>
      </c>
      <c r="O75" s="109" t="str">
        <f>IF(ListeCours[[#This Row],[DATE]],CONCATENATE(ListeCours[[#This Row],[mois]],".",ListeCours[[#This Row],[freq.mois]],".",ListeCours[[#This Row],[année]]),"")</f>
        <v>7.3.2023</v>
      </c>
      <c r="P75" s="109" t="str">
        <f>IFERROR(VLOOKUP(ListeCours[[#This Row],[FORMATEUR]],tables!$G$20:$H$54,2,0),"")</f>
        <v>ETHEV</v>
      </c>
      <c r="Q75" s="110">
        <f>IF(ListeCours[[#This Row],[DATE]],ROW()-ROW(ListeCours[[#Headers],[UNIQUE]]),"")</f>
        <v>73</v>
      </c>
    </row>
    <row r="76" spans="1:17" ht="24" hidden="1" customHeight="1" x14ac:dyDescent="0.25">
      <c r="A76" s="61" t="s">
        <v>298</v>
      </c>
      <c r="B76" s="60" t="s">
        <v>240</v>
      </c>
      <c r="C76" s="59">
        <v>45115</v>
      </c>
      <c r="D76" s="60" t="s">
        <v>276</v>
      </c>
      <c r="E76" s="62">
        <v>0.33333333333333331</v>
      </c>
      <c r="F76" s="62">
        <v>0.5</v>
      </c>
      <c r="G76" s="114">
        <f>IF(ListeCours[[#This Row],[DATE]],ListeCours[[#This Row],[HEURE DE FIN]]-ListeCours[[#This Row],[HEURE DE DÉBUT]],"")</f>
        <v>0.16666666666666669</v>
      </c>
      <c r="H76" s="63" t="s">
        <v>92</v>
      </c>
      <c r="I76" s="63"/>
      <c r="J76" s="117" t="str">
        <f>IF(ListeCours[[#This Row],[DATE]],A76&amp;"_"&amp;COUNTIF($A$3:A76,A76),"")</f>
        <v>M7 - Procédures RH et droit social_7</v>
      </c>
      <c r="K76" s="118" t="str">
        <f>IF(ListeCours[[#This Row],[DATE]],D76&amp;"_"&amp;COUNTIF($D$3:D76,D76),"")</f>
        <v>F. ETHEVE_4</v>
      </c>
      <c r="L76" s="109">
        <f>IF(ListeCours[[#This Row],[DATE]],MONTH(ListeCours[[#This Row],[DATE]]),"")</f>
        <v>7</v>
      </c>
      <c r="M76" s="107">
        <f>IF(ListeCours[[#This Row],[DATE]],COUNTIF($L$3:L76,L76),"")</f>
        <v>4</v>
      </c>
      <c r="N76" s="109">
        <f>IF(ListeCours[[#This Row],[DATE]],YEAR(ListeCours[[#This Row],[DATE]]),"")</f>
        <v>2023</v>
      </c>
      <c r="O76" s="109" t="str">
        <f>IF(ListeCours[[#This Row],[DATE]],CONCATENATE(ListeCours[[#This Row],[mois]],".",ListeCours[[#This Row],[freq.mois]],".",ListeCours[[#This Row],[année]]),"")</f>
        <v>7.4.2023</v>
      </c>
      <c r="P76" s="109" t="str">
        <f>IFERROR(VLOOKUP(ListeCours[[#This Row],[FORMATEUR]],tables!$G$20:$H$54,2,0),"")</f>
        <v>ETHEV</v>
      </c>
      <c r="Q76" s="110">
        <f>IF(ListeCours[[#This Row],[DATE]],ROW()-ROW(ListeCours[[#Headers],[UNIQUE]]),"")</f>
        <v>74</v>
      </c>
    </row>
    <row r="77" spans="1:17" ht="24" hidden="1" customHeight="1" x14ac:dyDescent="0.25">
      <c r="A77" s="61" t="s">
        <v>299</v>
      </c>
      <c r="B77" s="60" t="s">
        <v>243</v>
      </c>
      <c r="C77" s="59">
        <v>45120</v>
      </c>
      <c r="D77" s="60" t="s">
        <v>341</v>
      </c>
      <c r="E77" s="62">
        <v>0.70833333333333337</v>
      </c>
      <c r="F77" s="62">
        <v>0.83333333333333337</v>
      </c>
      <c r="G77" s="114">
        <f>IF(ListeCours[[#This Row],[DATE]],ListeCours[[#This Row],[HEURE DE FIN]]-ListeCours[[#This Row],[HEURE DE DÉBUT]],"")</f>
        <v>0.125</v>
      </c>
      <c r="H77" s="63" t="s">
        <v>92</v>
      </c>
      <c r="I77" s="63"/>
      <c r="J77" s="117" t="str">
        <f>IF(ListeCours[[#This Row],[DATE]],A77&amp;"_"&amp;COUNTIF($A$3:A77,A77),"")</f>
        <v>M8 - IRP et politique QHSSE_2</v>
      </c>
      <c r="K77" s="118" t="str">
        <f>IF(ListeCours[[#This Row],[DATE]],D77&amp;"_"&amp;COUNTIF($D$3:D77,D77),"")</f>
        <v>V. LE ROUX_2</v>
      </c>
      <c r="L77" s="109">
        <f>IF(ListeCours[[#This Row],[DATE]],MONTH(ListeCours[[#This Row],[DATE]]),"")</f>
        <v>7</v>
      </c>
      <c r="M77" s="107">
        <f>IF(ListeCours[[#This Row],[DATE]],COUNTIF($L$3:L77,L77),"")</f>
        <v>5</v>
      </c>
      <c r="N77" s="109">
        <f>IF(ListeCours[[#This Row],[DATE]],YEAR(ListeCours[[#This Row],[DATE]]),"")</f>
        <v>2023</v>
      </c>
      <c r="O77" s="109" t="str">
        <f>IF(ListeCours[[#This Row],[DATE]],CONCATENATE(ListeCours[[#This Row],[mois]],".",ListeCours[[#This Row],[freq.mois]],".",ListeCours[[#This Row],[année]]),"")</f>
        <v>7.5.2023</v>
      </c>
      <c r="P77" s="109" t="str">
        <f>IFERROR(VLOOKUP(ListeCours[[#This Row],[FORMATEUR]],tables!$G$20:$H$54,2,0),"")</f>
        <v>LEROU</v>
      </c>
      <c r="Q77" s="110">
        <f>IF(ListeCours[[#This Row],[DATE]],ROW()-ROW(ListeCours[[#Headers],[UNIQUE]]),"")</f>
        <v>75</v>
      </c>
    </row>
    <row r="78" spans="1:17" ht="24" hidden="1" customHeight="1" x14ac:dyDescent="0.25">
      <c r="A78" s="61" t="s">
        <v>299</v>
      </c>
      <c r="B78" s="60" t="s">
        <v>242</v>
      </c>
      <c r="C78" s="59">
        <v>45122</v>
      </c>
      <c r="D78" s="60" t="s">
        <v>341</v>
      </c>
      <c r="E78" s="62">
        <v>0.33333333333333331</v>
      </c>
      <c r="F78" s="62">
        <v>0.5</v>
      </c>
      <c r="G78" s="114">
        <f>IF(ListeCours[[#This Row],[DATE]],ListeCours[[#This Row],[HEURE DE FIN]]-ListeCours[[#This Row],[HEURE DE DÉBUT]],"")</f>
        <v>0.16666666666666669</v>
      </c>
      <c r="H78" s="63" t="s">
        <v>92</v>
      </c>
      <c r="I78" s="63"/>
      <c r="J78" s="117" t="str">
        <f>IF(ListeCours[[#This Row],[DATE]],A78&amp;"_"&amp;COUNTIF($A$3:A78,A78),"")</f>
        <v>M8 - IRP et politique QHSSE_3</v>
      </c>
      <c r="K78" s="118" t="str">
        <f>IF(ListeCours[[#This Row],[DATE]],D78&amp;"_"&amp;COUNTIF($D$3:D78,D78),"")</f>
        <v>V. LE ROUX_3</v>
      </c>
      <c r="L78" s="109">
        <f>IF(ListeCours[[#This Row],[DATE]],MONTH(ListeCours[[#This Row],[DATE]]),"")</f>
        <v>7</v>
      </c>
      <c r="M78" s="107">
        <f>IF(ListeCours[[#This Row],[DATE]],COUNTIF($L$3:L78,L78),"")</f>
        <v>6</v>
      </c>
      <c r="N78" s="109">
        <f>IF(ListeCours[[#This Row],[DATE]],YEAR(ListeCours[[#This Row],[DATE]]),"")</f>
        <v>2023</v>
      </c>
      <c r="O78" s="109" t="str">
        <f>IF(ListeCours[[#This Row],[DATE]],CONCATENATE(ListeCours[[#This Row],[mois]],".",ListeCours[[#This Row],[freq.mois]],".",ListeCours[[#This Row],[année]]),"")</f>
        <v>7.6.2023</v>
      </c>
      <c r="P78" s="109" t="str">
        <f>IFERROR(VLOOKUP(ListeCours[[#This Row],[FORMATEUR]],tables!$G$20:$H$54,2,0),"")</f>
        <v>LEROU</v>
      </c>
      <c r="Q78" s="110">
        <f>IF(ListeCours[[#This Row],[DATE]],ROW()-ROW(ListeCours[[#Headers],[UNIQUE]]),"")</f>
        <v>76</v>
      </c>
    </row>
    <row r="79" spans="1:17" ht="24" hidden="1" customHeight="1" x14ac:dyDescent="0.25">
      <c r="A79" s="61" t="s">
        <v>299</v>
      </c>
      <c r="B79" s="60" t="s">
        <v>244</v>
      </c>
      <c r="C79" s="59">
        <v>45127</v>
      </c>
      <c r="D79" s="60" t="s">
        <v>341</v>
      </c>
      <c r="E79" s="62">
        <v>0.70833333333333337</v>
      </c>
      <c r="F79" s="62">
        <v>0.83333333333333337</v>
      </c>
      <c r="G79" s="114">
        <f>IF(ListeCours[[#This Row],[DATE]],ListeCours[[#This Row],[HEURE DE FIN]]-ListeCours[[#This Row],[HEURE DE DÉBUT]],"")</f>
        <v>0.125</v>
      </c>
      <c r="H79" s="63" t="s">
        <v>92</v>
      </c>
      <c r="I79" s="63"/>
      <c r="J79" s="117" t="str">
        <f>IF(ListeCours[[#This Row],[DATE]],A79&amp;"_"&amp;COUNTIF($A$3:A79,A79),"")</f>
        <v>M8 - IRP et politique QHSSE_4</v>
      </c>
      <c r="K79" s="118" t="str">
        <f>IF(ListeCours[[#This Row],[DATE]],D79&amp;"_"&amp;COUNTIF($D$3:D79,D79),"")</f>
        <v>V. LE ROUX_4</v>
      </c>
      <c r="L79" s="109">
        <f>IF(ListeCours[[#This Row],[DATE]],MONTH(ListeCours[[#This Row],[DATE]]),"")</f>
        <v>7</v>
      </c>
      <c r="M79" s="107">
        <f>IF(ListeCours[[#This Row],[DATE]],COUNTIF($L$3:L79,L79),"")</f>
        <v>7</v>
      </c>
      <c r="N79" s="109">
        <f>IF(ListeCours[[#This Row],[DATE]],YEAR(ListeCours[[#This Row],[DATE]]),"")</f>
        <v>2023</v>
      </c>
      <c r="O79" s="109" t="str">
        <f>IF(ListeCours[[#This Row],[DATE]],CONCATENATE(ListeCours[[#This Row],[mois]],".",ListeCours[[#This Row],[freq.mois]],".",ListeCours[[#This Row],[année]]),"")</f>
        <v>7.7.2023</v>
      </c>
      <c r="P79" s="109" t="str">
        <f>IFERROR(VLOOKUP(ListeCours[[#This Row],[FORMATEUR]],tables!$G$20:$H$54,2,0),"")</f>
        <v>LEROU</v>
      </c>
      <c r="Q79" s="110">
        <f>IF(ListeCours[[#This Row],[DATE]],ROW()-ROW(ListeCours[[#Headers],[UNIQUE]]),"")</f>
        <v>77</v>
      </c>
    </row>
    <row r="80" spans="1:17" ht="24" hidden="1" customHeight="1" x14ac:dyDescent="0.25">
      <c r="A80" s="61" t="s">
        <v>299</v>
      </c>
      <c r="B80" s="60" t="s">
        <v>243</v>
      </c>
      <c r="C80" s="59">
        <v>45128</v>
      </c>
      <c r="D80" s="60" t="s">
        <v>341</v>
      </c>
      <c r="E80" s="62">
        <v>0.70833333333333337</v>
      </c>
      <c r="F80" s="62">
        <v>0.83333333333333337</v>
      </c>
      <c r="G80" s="114">
        <f>IF(ListeCours[[#This Row],[DATE]],ListeCours[[#This Row],[HEURE DE FIN]]-ListeCours[[#This Row],[HEURE DE DÉBUT]],"")</f>
        <v>0.125</v>
      </c>
      <c r="H80" s="63" t="s">
        <v>92</v>
      </c>
      <c r="I80" s="63"/>
      <c r="J80" s="117" t="str">
        <f>IF(ListeCours[[#This Row],[DATE]],A80&amp;"_"&amp;COUNTIF($A$3:A80,A80),"")</f>
        <v>M8 - IRP et politique QHSSE_5</v>
      </c>
      <c r="K80" s="118" t="str">
        <f>IF(ListeCours[[#This Row],[DATE]],D80&amp;"_"&amp;COUNTIF($D$3:D80,D80),"")</f>
        <v>V. LE ROUX_5</v>
      </c>
      <c r="L80" s="109">
        <f>IF(ListeCours[[#This Row],[DATE]],MONTH(ListeCours[[#This Row],[DATE]]),"")</f>
        <v>7</v>
      </c>
      <c r="M80" s="107">
        <f>IF(ListeCours[[#This Row],[DATE]],COUNTIF($L$3:L80,L80),"")</f>
        <v>8</v>
      </c>
      <c r="N80" s="109">
        <f>IF(ListeCours[[#This Row],[DATE]],YEAR(ListeCours[[#This Row],[DATE]]),"")</f>
        <v>2023</v>
      </c>
      <c r="O80" s="109" t="str">
        <f>IF(ListeCours[[#This Row],[DATE]],CONCATENATE(ListeCours[[#This Row],[mois]],".",ListeCours[[#This Row],[freq.mois]],".",ListeCours[[#This Row],[année]]),"")</f>
        <v>7.8.2023</v>
      </c>
      <c r="P80" s="109" t="str">
        <f>IFERROR(VLOOKUP(ListeCours[[#This Row],[FORMATEUR]],tables!$G$20:$H$54,2,0),"")</f>
        <v>LEROU</v>
      </c>
      <c r="Q80" s="110">
        <f>IF(ListeCours[[#This Row],[DATE]],ROW()-ROW(ListeCours[[#Headers],[UNIQUE]]),"")</f>
        <v>78</v>
      </c>
    </row>
    <row r="81" spans="1:17" ht="24" hidden="1" customHeight="1" x14ac:dyDescent="0.25">
      <c r="A81" s="61" t="s">
        <v>299</v>
      </c>
      <c r="B81" s="60" t="s">
        <v>243</v>
      </c>
      <c r="C81" s="59">
        <v>45129</v>
      </c>
      <c r="D81" s="60" t="s">
        <v>341</v>
      </c>
      <c r="E81" s="62">
        <v>0.33333333333333331</v>
      </c>
      <c r="F81" s="62">
        <v>0.5</v>
      </c>
      <c r="G81" s="114">
        <f>IF(ListeCours[[#This Row],[DATE]],ListeCours[[#This Row],[HEURE DE FIN]]-ListeCours[[#This Row],[HEURE DE DÉBUT]],"")</f>
        <v>0.16666666666666669</v>
      </c>
      <c r="H81" s="63" t="s">
        <v>92</v>
      </c>
      <c r="I81" s="63"/>
      <c r="J81" s="117" t="str">
        <f>IF(ListeCours[[#This Row],[DATE]],A81&amp;"_"&amp;COUNTIF($A$3:A81,A81),"")</f>
        <v>M8 - IRP et politique QHSSE_6</v>
      </c>
      <c r="K81" s="118" t="str">
        <f>IF(ListeCours[[#This Row],[DATE]],D81&amp;"_"&amp;COUNTIF($D$3:D81,D81),"")</f>
        <v>V. LE ROUX_6</v>
      </c>
      <c r="L81" s="109">
        <f>IF(ListeCours[[#This Row],[DATE]],MONTH(ListeCours[[#This Row],[DATE]]),"")</f>
        <v>7</v>
      </c>
      <c r="M81" s="107">
        <f>IF(ListeCours[[#This Row],[DATE]],COUNTIF($L$3:L81,L81),"")</f>
        <v>9</v>
      </c>
      <c r="N81" s="109">
        <f>IF(ListeCours[[#This Row],[DATE]],YEAR(ListeCours[[#This Row],[DATE]]),"")</f>
        <v>2023</v>
      </c>
      <c r="O81" s="109" t="str">
        <f>IF(ListeCours[[#This Row],[DATE]],CONCATENATE(ListeCours[[#This Row],[mois]],".",ListeCours[[#This Row],[freq.mois]],".",ListeCours[[#This Row],[année]]),"")</f>
        <v>7.9.2023</v>
      </c>
      <c r="P81" s="109" t="str">
        <f>IFERROR(VLOOKUP(ListeCours[[#This Row],[FORMATEUR]],tables!$G$20:$H$54,2,0),"")</f>
        <v>LEROU</v>
      </c>
      <c r="Q81" s="110">
        <f>IF(ListeCours[[#This Row],[DATE]],ROW()-ROW(ListeCours[[#Headers],[UNIQUE]]),"")</f>
        <v>79</v>
      </c>
    </row>
    <row r="82" spans="1:17" ht="24" hidden="1" customHeight="1" x14ac:dyDescent="0.25">
      <c r="A82" s="61" t="s">
        <v>299</v>
      </c>
      <c r="B82" s="60" t="s">
        <v>244</v>
      </c>
      <c r="C82" s="59">
        <v>45134</v>
      </c>
      <c r="D82" s="60" t="s">
        <v>341</v>
      </c>
      <c r="E82" s="62">
        <v>0.66666666666666663</v>
      </c>
      <c r="F82" s="62">
        <v>0.83333333333333337</v>
      </c>
      <c r="G82" s="114">
        <f>IF(ListeCours[[#This Row],[DATE]],ListeCours[[#This Row],[HEURE DE FIN]]-ListeCours[[#This Row],[HEURE DE DÉBUT]],"")</f>
        <v>0.16666666666666674</v>
      </c>
      <c r="H82" s="63" t="s">
        <v>92</v>
      </c>
      <c r="I82" s="63"/>
      <c r="J82" s="117" t="str">
        <f>IF(ListeCours[[#This Row],[DATE]],A82&amp;"_"&amp;COUNTIF($A$3:A82,A82),"")</f>
        <v>M8 - IRP et politique QHSSE_7</v>
      </c>
      <c r="K82" s="118" t="str">
        <f>IF(ListeCours[[#This Row],[DATE]],D82&amp;"_"&amp;COUNTIF($D$3:D82,D82),"")</f>
        <v>V. LE ROUX_7</v>
      </c>
      <c r="L82" s="109">
        <f>IF(ListeCours[[#This Row],[DATE]],MONTH(ListeCours[[#This Row],[DATE]]),"")</f>
        <v>7</v>
      </c>
      <c r="M82" s="107">
        <f>IF(ListeCours[[#This Row],[DATE]],COUNTIF($L$3:L82,L82),"")</f>
        <v>10</v>
      </c>
      <c r="N82" s="109">
        <f>IF(ListeCours[[#This Row],[DATE]],YEAR(ListeCours[[#This Row],[DATE]]),"")</f>
        <v>2023</v>
      </c>
      <c r="O82" s="109" t="str">
        <f>IF(ListeCours[[#This Row],[DATE]],CONCATENATE(ListeCours[[#This Row],[mois]],".",ListeCours[[#This Row],[freq.mois]],".",ListeCours[[#This Row],[année]]),"")</f>
        <v>7.10.2023</v>
      </c>
      <c r="P82" s="109" t="str">
        <f>IFERROR(VLOOKUP(ListeCours[[#This Row],[FORMATEUR]],tables!$G$20:$H$54,2,0),"")</f>
        <v>LEROU</v>
      </c>
      <c r="Q82" s="110">
        <f>IF(ListeCours[[#This Row],[DATE]],ROW()-ROW(ListeCours[[#Headers],[UNIQUE]]),"")</f>
        <v>80</v>
      </c>
    </row>
    <row r="83" spans="1:17" ht="24" hidden="1" customHeight="1" x14ac:dyDescent="0.25">
      <c r="A83" s="61" t="s">
        <v>304</v>
      </c>
      <c r="B83" s="60" t="s">
        <v>65</v>
      </c>
      <c r="C83" s="59">
        <v>45135</v>
      </c>
      <c r="D83" s="60" t="s">
        <v>311</v>
      </c>
      <c r="E83" s="57">
        <v>0.70833333333333337</v>
      </c>
      <c r="F83" s="62">
        <v>0.83333333333333337</v>
      </c>
      <c r="G83" s="114">
        <f>IF(ListeCours[[#This Row],[DATE]],ListeCours[[#This Row],[HEURE DE FIN]]-ListeCours[[#This Row],[HEURE DE DÉBUT]],"")</f>
        <v>0.125</v>
      </c>
      <c r="H83" s="63" t="s">
        <v>92</v>
      </c>
      <c r="I83" s="63"/>
      <c r="J83" s="117" t="str">
        <f>IF(ListeCours[[#This Row],[DATE]],A83&amp;"_"&amp;COUNTIF($A$3:A83,A83),"")</f>
        <v>M13 - Accompagnement mémoire_6</v>
      </c>
      <c r="K83" s="118" t="str">
        <f>IF(ListeCours[[#This Row],[DATE]],D83&amp;"_"&amp;COUNTIF($D$3:D83,D83),"")</f>
        <v>S. LEBOURVELEC_2</v>
      </c>
      <c r="L83" s="109">
        <f>IF(ListeCours[[#This Row],[DATE]],MONTH(ListeCours[[#This Row],[DATE]]),"")</f>
        <v>7</v>
      </c>
      <c r="M83" s="107">
        <f>IF(ListeCours[[#This Row],[DATE]],COUNTIF($L$3:L83,L83),"")</f>
        <v>11</v>
      </c>
      <c r="N83" s="109">
        <f>IF(ListeCours[[#This Row],[DATE]],YEAR(ListeCours[[#This Row],[DATE]]),"")</f>
        <v>2023</v>
      </c>
      <c r="O83" s="109" t="str">
        <f>IF(ListeCours[[#This Row],[DATE]],CONCATENATE(ListeCours[[#This Row],[mois]],".",ListeCours[[#This Row],[freq.mois]],".",ListeCours[[#This Row],[année]]),"")</f>
        <v>7.11.2023</v>
      </c>
      <c r="P83" s="109" t="str">
        <f>IFERROR(VLOOKUP(ListeCours[[#This Row],[FORMATEUR]],tables!$G$20:$H$54,2,0),"")</f>
        <v>LEBOU</v>
      </c>
      <c r="Q83" s="110">
        <f>IF(ListeCours[[#This Row],[DATE]],ROW()-ROW(ListeCours[[#Headers],[UNIQUE]]),"")</f>
        <v>81</v>
      </c>
    </row>
    <row r="84" spans="1:17" ht="24" hidden="1" customHeight="1" x14ac:dyDescent="0.25">
      <c r="A84" s="61" t="s">
        <v>299</v>
      </c>
      <c r="B84" s="60" t="s">
        <v>243</v>
      </c>
      <c r="C84" s="59">
        <v>45136</v>
      </c>
      <c r="D84" s="60" t="s">
        <v>341</v>
      </c>
      <c r="E84" s="62">
        <v>0.33333333333333331</v>
      </c>
      <c r="F84" s="62">
        <v>0.5</v>
      </c>
      <c r="G84" s="114">
        <f>IF(ListeCours[[#This Row],[DATE]],ListeCours[[#This Row],[HEURE DE FIN]]-ListeCours[[#This Row],[HEURE DE DÉBUT]],"")</f>
        <v>0.16666666666666669</v>
      </c>
      <c r="H84" s="63" t="s">
        <v>92</v>
      </c>
      <c r="I84" s="63"/>
      <c r="J84" s="117" t="str">
        <f>IF(ListeCours[[#This Row],[DATE]],A84&amp;"_"&amp;COUNTIF($A$3:A84,A84),"")</f>
        <v>M8 - IRP et politique QHSSE_8</v>
      </c>
      <c r="K84" s="118" t="str">
        <f>IF(ListeCours[[#This Row],[DATE]],D84&amp;"_"&amp;COUNTIF($D$3:D84,D84),"")</f>
        <v>V. LE ROUX_8</v>
      </c>
      <c r="L84" s="109">
        <f>IF(ListeCours[[#This Row],[DATE]],MONTH(ListeCours[[#This Row],[DATE]]),"")</f>
        <v>7</v>
      </c>
      <c r="M84" s="107">
        <f>IF(ListeCours[[#This Row],[DATE]],COUNTIF($L$3:L84,L84),"")</f>
        <v>12</v>
      </c>
      <c r="N84" s="109">
        <f>IF(ListeCours[[#This Row],[DATE]],YEAR(ListeCours[[#This Row],[DATE]]),"")</f>
        <v>2023</v>
      </c>
      <c r="O84" s="109" t="str">
        <f>IF(ListeCours[[#This Row],[DATE]],CONCATENATE(ListeCours[[#This Row],[mois]],".",ListeCours[[#This Row],[freq.mois]],".",ListeCours[[#This Row],[année]]),"")</f>
        <v>7.12.2023</v>
      </c>
      <c r="P84" s="109" t="str">
        <f>IFERROR(VLOOKUP(ListeCours[[#This Row],[FORMATEUR]],tables!$G$20:$H$54,2,0),"")</f>
        <v>LEROU</v>
      </c>
      <c r="Q84" s="110">
        <f>IF(ListeCours[[#This Row],[DATE]],ROW()-ROW(ListeCours[[#Headers],[UNIQUE]]),"")</f>
        <v>82</v>
      </c>
    </row>
    <row r="85" spans="1:17" ht="24" hidden="1" customHeight="1" x14ac:dyDescent="0.25">
      <c r="A85" s="61" t="s">
        <v>188</v>
      </c>
      <c r="B85" s="60" t="s">
        <v>227</v>
      </c>
      <c r="C85" s="59">
        <v>45141</v>
      </c>
      <c r="D85" s="60" t="s">
        <v>275</v>
      </c>
      <c r="E85" s="62">
        <v>0.70833333333333337</v>
      </c>
      <c r="F85" s="62">
        <v>0.83333333333333337</v>
      </c>
      <c r="G85" s="114">
        <f>IF(ListeCours[[#This Row],[DATE]],ListeCours[[#This Row],[HEURE DE FIN]]-ListeCours[[#This Row],[HEURE DE DÉBUT]],"")</f>
        <v>0.125</v>
      </c>
      <c r="H85" s="63" t="s">
        <v>92</v>
      </c>
      <c r="I85" s="63"/>
      <c r="J85" s="117" t="str">
        <f>IF(ListeCours[[#This Row],[DATE]],A85&amp;"_"&amp;COUNTIF($A$3:A85,A85),"")</f>
        <v>M4 - Aspects juridiques de la vie de l’entreprise_1</v>
      </c>
      <c r="K85" s="118" t="str">
        <f>IF(ListeCours[[#This Row],[DATE]],D85&amp;"_"&amp;COUNTIF($D$3:D85,D85),"")</f>
        <v>D. LABORIE_1</v>
      </c>
      <c r="L85" s="109">
        <f>IF(ListeCours[[#This Row],[DATE]],MONTH(ListeCours[[#This Row],[DATE]]),"")</f>
        <v>8</v>
      </c>
      <c r="M85" s="107">
        <f>IF(ListeCours[[#This Row],[DATE]],COUNTIF($L$3:L85,L85),"")</f>
        <v>1</v>
      </c>
      <c r="N85" s="109">
        <f>IF(ListeCours[[#This Row],[DATE]],YEAR(ListeCours[[#This Row],[DATE]]),"")</f>
        <v>2023</v>
      </c>
      <c r="O85" s="109" t="str">
        <f>IF(ListeCours[[#This Row],[DATE]],CONCATENATE(ListeCours[[#This Row],[mois]],".",ListeCours[[#This Row],[freq.mois]],".",ListeCours[[#This Row],[année]]),"")</f>
        <v>8.1.2023</v>
      </c>
      <c r="P85" s="109" t="str">
        <f>IFERROR(VLOOKUP(ListeCours[[#This Row],[FORMATEUR]],tables!$G$20:$H$54,2,0),"")</f>
        <v>LABOR</v>
      </c>
      <c r="Q85" s="110">
        <f>IF(ListeCours[[#This Row],[DATE]],ROW()-ROW(ListeCours[[#Headers],[UNIQUE]]),"")</f>
        <v>83</v>
      </c>
    </row>
    <row r="86" spans="1:17" ht="24" hidden="1" customHeight="1" x14ac:dyDescent="0.25">
      <c r="A86" s="61" t="s">
        <v>188</v>
      </c>
      <c r="B86" s="60" t="s">
        <v>228</v>
      </c>
      <c r="C86" s="59">
        <v>45142</v>
      </c>
      <c r="D86" s="60" t="s">
        <v>275</v>
      </c>
      <c r="E86" s="62">
        <v>0.70833333333333337</v>
      </c>
      <c r="F86" s="62">
        <v>0.83333333333333337</v>
      </c>
      <c r="G86" s="114">
        <f>IF(ListeCours[[#This Row],[DATE]],ListeCours[[#This Row],[HEURE DE FIN]]-ListeCours[[#This Row],[HEURE DE DÉBUT]],"")</f>
        <v>0.125</v>
      </c>
      <c r="H86" s="63" t="s">
        <v>92</v>
      </c>
      <c r="I86" s="63"/>
      <c r="J86" s="117" t="str">
        <f>IF(ListeCours[[#This Row],[DATE]],A86&amp;"_"&amp;COUNTIF($A$3:A86,A86),"")</f>
        <v>M4 - Aspects juridiques de la vie de l’entreprise_2</v>
      </c>
      <c r="K86" s="118" t="str">
        <f>IF(ListeCours[[#This Row],[DATE]],D86&amp;"_"&amp;COUNTIF($D$3:D86,D86),"")</f>
        <v>D. LABORIE_2</v>
      </c>
      <c r="L86" s="109">
        <f>IF(ListeCours[[#This Row],[DATE]],MONTH(ListeCours[[#This Row],[DATE]]),"")</f>
        <v>8</v>
      </c>
      <c r="M86" s="107">
        <f>IF(ListeCours[[#This Row],[DATE]],COUNTIF($L$3:L86,L86),"")</f>
        <v>2</v>
      </c>
      <c r="N86" s="109">
        <f>IF(ListeCours[[#This Row],[DATE]],YEAR(ListeCours[[#This Row],[DATE]]),"")</f>
        <v>2023</v>
      </c>
      <c r="O86" s="109" t="str">
        <f>IF(ListeCours[[#This Row],[DATE]],CONCATENATE(ListeCours[[#This Row],[mois]],".",ListeCours[[#This Row],[freq.mois]],".",ListeCours[[#This Row],[année]]),"")</f>
        <v>8.2.2023</v>
      </c>
      <c r="P86" s="109" t="str">
        <f>IFERROR(VLOOKUP(ListeCours[[#This Row],[FORMATEUR]],tables!$G$20:$H$54,2,0),"")</f>
        <v>LABOR</v>
      </c>
      <c r="Q86" s="110">
        <f>IF(ListeCours[[#This Row],[DATE]],ROW()-ROW(ListeCours[[#Headers],[UNIQUE]]),"")</f>
        <v>84</v>
      </c>
    </row>
    <row r="87" spans="1:17" ht="24" hidden="1" customHeight="1" x14ac:dyDescent="0.25">
      <c r="A87" s="61" t="s">
        <v>188</v>
      </c>
      <c r="B87" s="60" t="s">
        <v>227</v>
      </c>
      <c r="C87" s="59">
        <v>45143</v>
      </c>
      <c r="D87" s="60" t="s">
        <v>275</v>
      </c>
      <c r="E87" s="62">
        <v>0.33333333333333331</v>
      </c>
      <c r="F87" s="62">
        <v>0.5</v>
      </c>
      <c r="G87" s="114">
        <f>IF(ListeCours[[#This Row],[DATE]],ListeCours[[#This Row],[HEURE DE FIN]]-ListeCours[[#This Row],[HEURE DE DÉBUT]],"")</f>
        <v>0.16666666666666669</v>
      </c>
      <c r="H87" s="63" t="s">
        <v>92</v>
      </c>
      <c r="I87" s="63"/>
      <c r="J87" s="117" t="str">
        <f>IF(ListeCours[[#This Row],[DATE]],A87&amp;"_"&amp;COUNTIF($A$3:A87,A87),"")</f>
        <v>M4 - Aspects juridiques de la vie de l’entreprise_3</v>
      </c>
      <c r="K87" s="118" t="str">
        <f>IF(ListeCours[[#This Row],[DATE]],D87&amp;"_"&amp;COUNTIF($D$3:D87,D87),"")</f>
        <v>D. LABORIE_3</v>
      </c>
      <c r="L87" s="109">
        <f>IF(ListeCours[[#This Row],[DATE]],MONTH(ListeCours[[#This Row],[DATE]]),"")</f>
        <v>8</v>
      </c>
      <c r="M87" s="107">
        <f>IF(ListeCours[[#This Row],[DATE]],COUNTIF($L$3:L87,L87),"")</f>
        <v>3</v>
      </c>
      <c r="N87" s="109">
        <f>IF(ListeCours[[#This Row],[DATE]],YEAR(ListeCours[[#This Row],[DATE]]),"")</f>
        <v>2023</v>
      </c>
      <c r="O87" s="109" t="str">
        <f>IF(ListeCours[[#This Row],[DATE]],CONCATENATE(ListeCours[[#This Row],[mois]],".",ListeCours[[#This Row],[freq.mois]],".",ListeCours[[#This Row],[année]]),"")</f>
        <v>8.3.2023</v>
      </c>
      <c r="P87" s="109" t="str">
        <f>IFERROR(VLOOKUP(ListeCours[[#This Row],[FORMATEUR]],tables!$G$20:$H$54,2,0),"")</f>
        <v>LABOR</v>
      </c>
      <c r="Q87" s="110">
        <f>IF(ListeCours[[#This Row],[DATE]],ROW()-ROW(ListeCours[[#Headers],[UNIQUE]]),"")</f>
        <v>85</v>
      </c>
    </row>
    <row r="88" spans="1:17" ht="24" hidden="1" customHeight="1" x14ac:dyDescent="0.25">
      <c r="A88" s="61" t="s">
        <v>188</v>
      </c>
      <c r="B88" s="60" t="s">
        <v>228</v>
      </c>
      <c r="C88" s="59">
        <v>45148</v>
      </c>
      <c r="D88" s="60" t="s">
        <v>275</v>
      </c>
      <c r="E88" s="62">
        <v>0.70833333333333337</v>
      </c>
      <c r="F88" s="62">
        <v>0.83333333333333337</v>
      </c>
      <c r="G88" s="114">
        <f>IF(ListeCours[[#This Row],[DATE]],ListeCours[[#This Row],[HEURE DE FIN]]-ListeCours[[#This Row],[HEURE DE DÉBUT]],"")</f>
        <v>0.125</v>
      </c>
      <c r="H88" s="63" t="s">
        <v>92</v>
      </c>
      <c r="I88" s="63"/>
      <c r="J88" s="117" t="str">
        <f>IF(ListeCours[[#This Row],[DATE]],A88&amp;"_"&amp;COUNTIF($A$3:A88,A88),"")</f>
        <v>M4 - Aspects juridiques de la vie de l’entreprise_4</v>
      </c>
      <c r="K88" s="118" t="str">
        <f>IF(ListeCours[[#This Row],[DATE]],D88&amp;"_"&amp;COUNTIF($D$3:D88,D88),"")</f>
        <v>D. LABORIE_4</v>
      </c>
      <c r="L88" s="109">
        <f>IF(ListeCours[[#This Row],[DATE]],MONTH(ListeCours[[#This Row],[DATE]]),"")</f>
        <v>8</v>
      </c>
      <c r="M88" s="107">
        <f>IF(ListeCours[[#This Row],[DATE]],COUNTIF($L$3:L88,L88),"")</f>
        <v>4</v>
      </c>
      <c r="N88" s="109">
        <f>IF(ListeCours[[#This Row],[DATE]],YEAR(ListeCours[[#This Row],[DATE]]),"")</f>
        <v>2023</v>
      </c>
      <c r="O88" s="109" t="str">
        <f>IF(ListeCours[[#This Row],[DATE]],CONCATENATE(ListeCours[[#This Row],[mois]],".",ListeCours[[#This Row],[freq.mois]],".",ListeCours[[#This Row],[année]]),"")</f>
        <v>8.4.2023</v>
      </c>
      <c r="P88" s="109" t="str">
        <f>IFERROR(VLOOKUP(ListeCours[[#This Row],[FORMATEUR]],tables!$G$20:$H$54,2,0),"")</f>
        <v>LABOR</v>
      </c>
      <c r="Q88" s="110">
        <f>IF(ListeCours[[#This Row],[DATE]],ROW()-ROW(ListeCours[[#Headers],[UNIQUE]]),"")</f>
        <v>86</v>
      </c>
    </row>
    <row r="89" spans="1:17" ht="24" hidden="1" customHeight="1" x14ac:dyDescent="0.25">
      <c r="A89" s="61" t="s">
        <v>188</v>
      </c>
      <c r="B89" s="60" t="s">
        <v>228</v>
      </c>
      <c r="C89" s="59">
        <v>45149</v>
      </c>
      <c r="D89" s="60" t="s">
        <v>275</v>
      </c>
      <c r="E89" s="62">
        <v>0.70833333333333337</v>
      </c>
      <c r="F89" s="62">
        <v>0.83333333333333337</v>
      </c>
      <c r="G89" s="114">
        <f>IF(ListeCours[[#This Row],[DATE]],ListeCours[[#This Row],[HEURE DE FIN]]-ListeCours[[#This Row],[HEURE DE DÉBUT]],"")</f>
        <v>0.125</v>
      </c>
      <c r="H89" s="63" t="s">
        <v>92</v>
      </c>
      <c r="I89" s="63"/>
      <c r="J89" s="117" t="str">
        <f>IF(ListeCours[[#This Row],[DATE]],A89&amp;"_"&amp;COUNTIF($A$3:A89,A89),"")</f>
        <v>M4 - Aspects juridiques de la vie de l’entreprise_5</v>
      </c>
      <c r="K89" s="118" t="str">
        <f>IF(ListeCours[[#This Row],[DATE]],D89&amp;"_"&amp;COUNTIF($D$3:D89,D89),"")</f>
        <v>D. LABORIE_5</v>
      </c>
      <c r="L89" s="109">
        <f>IF(ListeCours[[#This Row],[DATE]],MONTH(ListeCours[[#This Row],[DATE]]),"")</f>
        <v>8</v>
      </c>
      <c r="M89" s="107">
        <f>IF(ListeCours[[#This Row],[DATE]],COUNTIF($L$3:L89,L89),"")</f>
        <v>5</v>
      </c>
      <c r="N89" s="109">
        <f>IF(ListeCours[[#This Row],[DATE]],YEAR(ListeCours[[#This Row],[DATE]]),"")</f>
        <v>2023</v>
      </c>
      <c r="O89" s="109" t="str">
        <f>IF(ListeCours[[#This Row],[DATE]],CONCATENATE(ListeCours[[#This Row],[mois]],".",ListeCours[[#This Row],[freq.mois]],".",ListeCours[[#This Row],[année]]),"")</f>
        <v>8.5.2023</v>
      </c>
      <c r="P89" s="109" t="str">
        <f>IFERROR(VLOOKUP(ListeCours[[#This Row],[FORMATEUR]],tables!$G$20:$H$54,2,0),"")</f>
        <v>LABOR</v>
      </c>
      <c r="Q89" s="110">
        <f>IF(ListeCours[[#This Row],[DATE]],ROW()-ROW(ListeCours[[#Headers],[UNIQUE]]),"")</f>
        <v>87</v>
      </c>
    </row>
    <row r="90" spans="1:17" ht="24" hidden="1" customHeight="1" x14ac:dyDescent="0.25">
      <c r="A90" s="61" t="s">
        <v>188</v>
      </c>
      <c r="B90" s="60" t="s">
        <v>228</v>
      </c>
      <c r="C90" s="59">
        <v>45150</v>
      </c>
      <c r="D90" s="60" t="s">
        <v>275</v>
      </c>
      <c r="E90" s="62">
        <v>0.33333333333333331</v>
      </c>
      <c r="F90" s="62">
        <v>0.5</v>
      </c>
      <c r="G90" s="114">
        <f>IF(ListeCours[[#This Row],[DATE]],ListeCours[[#This Row],[HEURE DE FIN]]-ListeCours[[#This Row],[HEURE DE DÉBUT]],"")</f>
        <v>0.16666666666666669</v>
      </c>
      <c r="H90" s="63" t="s">
        <v>92</v>
      </c>
      <c r="I90" s="63"/>
      <c r="J90" s="117" t="str">
        <f>IF(ListeCours[[#This Row],[DATE]],A90&amp;"_"&amp;COUNTIF($A$3:A90,A90),"")</f>
        <v>M4 - Aspects juridiques de la vie de l’entreprise_6</v>
      </c>
      <c r="K90" s="118" t="str">
        <f>IF(ListeCours[[#This Row],[DATE]],D90&amp;"_"&amp;COUNTIF($D$3:D90,D90),"")</f>
        <v>D. LABORIE_6</v>
      </c>
      <c r="L90" s="109">
        <f>IF(ListeCours[[#This Row],[DATE]],MONTH(ListeCours[[#This Row],[DATE]]),"")</f>
        <v>8</v>
      </c>
      <c r="M90" s="107">
        <f>IF(ListeCours[[#This Row],[DATE]],COUNTIF($L$3:L90,L90),"")</f>
        <v>6</v>
      </c>
      <c r="N90" s="109">
        <f>IF(ListeCours[[#This Row],[DATE]],YEAR(ListeCours[[#This Row],[DATE]]),"")</f>
        <v>2023</v>
      </c>
      <c r="O90" s="109" t="str">
        <f>IF(ListeCours[[#This Row],[DATE]],CONCATENATE(ListeCours[[#This Row],[mois]],".",ListeCours[[#This Row],[freq.mois]],".",ListeCours[[#This Row],[année]]),"")</f>
        <v>8.6.2023</v>
      </c>
      <c r="P90" s="109" t="str">
        <f>IFERROR(VLOOKUP(ListeCours[[#This Row],[FORMATEUR]],tables!$G$20:$H$54,2,0),"")</f>
        <v>LABOR</v>
      </c>
      <c r="Q90" s="110">
        <f>IF(ListeCours[[#This Row],[DATE]],ROW()-ROW(ListeCours[[#Headers],[UNIQUE]]),"")</f>
        <v>88</v>
      </c>
    </row>
    <row r="91" spans="1:17" ht="24" hidden="1" customHeight="1" x14ac:dyDescent="0.25">
      <c r="A91" s="61" t="s">
        <v>188</v>
      </c>
      <c r="B91" s="60" t="s">
        <v>228</v>
      </c>
      <c r="C91" s="59">
        <v>45155</v>
      </c>
      <c r="D91" s="60" t="s">
        <v>275</v>
      </c>
      <c r="E91" s="62">
        <v>0.70833333333333337</v>
      </c>
      <c r="F91" s="62">
        <v>0.83333333333333337</v>
      </c>
      <c r="G91" s="114">
        <f>IF(ListeCours[[#This Row],[DATE]],ListeCours[[#This Row],[HEURE DE FIN]]-ListeCours[[#This Row],[HEURE DE DÉBUT]],"")</f>
        <v>0.125</v>
      </c>
      <c r="H91" s="63" t="s">
        <v>92</v>
      </c>
      <c r="I91" s="63"/>
      <c r="J91" s="117" t="str">
        <f>IF(ListeCours[[#This Row],[DATE]],A91&amp;"_"&amp;COUNTIF($A$3:A91,A91),"")</f>
        <v>M4 - Aspects juridiques de la vie de l’entreprise_7</v>
      </c>
      <c r="K91" s="118" t="str">
        <f>IF(ListeCours[[#This Row],[DATE]],D91&amp;"_"&amp;COUNTIF($D$3:D91,D91),"")</f>
        <v>D. LABORIE_7</v>
      </c>
      <c r="L91" s="109">
        <f>IF(ListeCours[[#This Row],[DATE]],MONTH(ListeCours[[#This Row],[DATE]]),"")</f>
        <v>8</v>
      </c>
      <c r="M91" s="107">
        <f>IF(ListeCours[[#This Row],[DATE]],COUNTIF($L$3:L91,L91),"")</f>
        <v>7</v>
      </c>
      <c r="N91" s="109">
        <f>IF(ListeCours[[#This Row],[DATE]],YEAR(ListeCours[[#This Row],[DATE]]),"")</f>
        <v>2023</v>
      </c>
      <c r="O91" s="109" t="str">
        <f>IF(ListeCours[[#This Row],[DATE]],CONCATENATE(ListeCours[[#This Row],[mois]],".",ListeCours[[#This Row],[freq.mois]],".",ListeCours[[#This Row],[année]]),"")</f>
        <v>8.7.2023</v>
      </c>
      <c r="P91" s="109" t="str">
        <f>IFERROR(VLOOKUP(ListeCours[[#This Row],[FORMATEUR]],tables!$G$20:$H$54,2,0),"")</f>
        <v>LABOR</v>
      </c>
      <c r="Q91" s="110">
        <f>IF(ListeCours[[#This Row],[DATE]],ROW()-ROW(ListeCours[[#Headers],[UNIQUE]]),"")</f>
        <v>89</v>
      </c>
    </row>
    <row r="92" spans="1:17" ht="24" hidden="1" customHeight="1" x14ac:dyDescent="0.25">
      <c r="A92" s="61" t="s">
        <v>188</v>
      </c>
      <c r="B92" s="60" t="s">
        <v>228</v>
      </c>
      <c r="C92" s="59">
        <v>45156</v>
      </c>
      <c r="D92" s="60" t="s">
        <v>275</v>
      </c>
      <c r="E92" s="62">
        <v>0.70833333333333337</v>
      </c>
      <c r="F92" s="62">
        <v>0.75</v>
      </c>
      <c r="G92" s="114">
        <f>IF(ListeCours[[#This Row],[DATE]],ListeCours[[#This Row],[HEURE DE FIN]]-ListeCours[[#This Row],[HEURE DE DÉBUT]],"")</f>
        <v>4.166666666666663E-2</v>
      </c>
      <c r="H92" s="63" t="s">
        <v>92</v>
      </c>
      <c r="I92" s="63"/>
      <c r="J92" s="117" t="str">
        <f>IF(ListeCours[[#This Row],[DATE]],A92&amp;"_"&amp;COUNTIF($A$3:A92,A92),"")</f>
        <v>M4 - Aspects juridiques de la vie de l’entreprise_8</v>
      </c>
      <c r="K92" s="118" t="str">
        <f>IF(ListeCours[[#This Row],[DATE]],D92&amp;"_"&amp;COUNTIF($D$3:D92,D92),"")</f>
        <v>D. LABORIE_8</v>
      </c>
      <c r="L92" s="109">
        <f>IF(ListeCours[[#This Row],[DATE]],MONTH(ListeCours[[#This Row],[DATE]]),"")</f>
        <v>8</v>
      </c>
      <c r="M92" s="107">
        <f>IF(ListeCours[[#This Row],[DATE]],COUNTIF($L$3:L92,L92),"")</f>
        <v>8</v>
      </c>
      <c r="N92" s="109">
        <f>IF(ListeCours[[#This Row],[DATE]],YEAR(ListeCours[[#This Row],[DATE]]),"")</f>
        <v>2023</v>
      </c>
      <c r="O92" s="109" t="str">
        <f>IF(ListeCours[[#This Row],[DATE]],CONCATENATE(ListeCours[[#This Row],[mois]],".",ListeCours[[#This Row],[freq.mois]],".",ListeCours[[#This Row],[année]]),"")</f>
        <v>8.8.2023</v>
      </c>
      <c r="P92" s="109" t="str">
        <f>IFERROR(VLOOKUP(ListeCours[[#This Row],[FORMATEUR]],tables!$G$20:$H$54,2,0),"")</f>
        <v>LABOR</v>
      </c>
      <c r="Q92" s="110">
        <f>IF(ListeCours[[#This Row],[DATE]],ROW()-ROW(ListeCours[[#Headers],[UNIQUE]]),"")</f>
        <v>90</v>
      </c>
    </row>
    <row r="93" spans="1:17" ht="24" hidden="1" customHeight="1" x14ac:dyDescent="0.25">
      <c r="A93" s="61" t="s">
        <v>188</v>
      </c>
      <c r="B93" s="60" t="s">
        <v>251</v>
      </c>
      <c r="C93" s="59">
        <v>45156</v>
      </c>
      <c r="D93" s="60" t="s">
        <v>275</v>
      </c>
      <c r="E93" s="62">
        <v>0.75</v>
      </c>
      <c r="F93" s="62">
        <v>0.83333333333333337</v>
      </c>
      <c r="G93" s="114">
        <f>IF(ListeCours[[#This Row],[DATE]],ListeCours[[#This Row],[HEURE DE FIN]]-ListeCours[[#This Row],[HEURE DE DÉBUT]],"")</f>
        <v>8.333333333333337E-2</v>
      </c>
      <c r="H93" s="63" t="s">
        <v>92</v>
      </c>
      <c r="I93" s="63"/>
      <c r="J93" s="117" t="str">
        <f>IF(ListeCours[[#This Row],[DATE]],A93&amp;"_"&amp;COUNTIF($A$3:A93,A93),"")</f>
        <v>M4 - Aspects juridiques de la vie de l’entreprise_9</v>
      </c>
      <c r="K93" s="118" t="str">
        <f>IF(ListeCours[[#This Row],[DATE]],D93&amp;"_"&amp;COUNTIF($D$3:D93,D93),"")</f>
        <v>D. LABORIE_9</v>
      </c>
      <c r="L93" s="109">
        <f>IF(ListeCours[[#This Row],[DATE]],MONTH(ListeCours[[#This Row],[DATE]]),"")</f>
        <v>8</v>
      </c>
      <c r="M93" s="107">
        <f>IF(ListeCours[[#This Row],[DATE]],COUNTIF($L$3:L93,L93),"")</f>
        <v>9</v>
      </c>
      <c r="N93" s="109">
        <f>IF(ListeCours[[#This Row],[DATE]],YEAR(ListeCours[[#This Row],[DATE]]),"")</f>
        <v>2023</v>
      </c>
      <c r="O93" s="109" t="str">
        <f>IF(ListeCours[[#This Row],[DATE]],CONCATENATE(ListeCours[[#This Row],[mois]],".",ListeCours[[#This Row],[freq.mois]],".",ListeCours[[#This Row],[année]]),"")</f>
        <v>8.9.2023</v>
      </c>
      <c r="P93" s="109" t="str">
        <f>IFERROR(VLOOKUP(ListeCours[[#This Row],[FORMATEUR]],tables!$G$20:$H$54,2,0),"")</f>
        <v>LABOR</v>
      </c>
      <c r="Q93" s="110">
        <f>IF(ListeCours[[#This Row],[DATE]],ROW()-ROW(ListeCours[[#Headers],[UNIQUE]]),"")</f>
        <v>91</v>
      </c>
    </row>
    <row r="94" spans="1:17" ht="24" hidden="1" customHeight="1" x14ac:dyDescent="0.25">
      <c r="A94" s="61" t="s">
        <v>188</v>
      </c>
      <c r="B94" s="60" t="s">
        <v>228</v>
      </c>
      <c r="C94" s="59">
        <v>45157</v>
      </c>
      <c r="D94" s="60" t="s">
        <v>275</v>
      </c>
      <c r="E94" s="62">
        <v>0.33333333333333331</v>
      </c>
      <c r="F94" s="62">
        <v>0.5</v>
      </c>
      <c r="G94" s="114">
        <f>IF(ListeCours[[#This Row],[DATE]],ListeCours[[#This Row],[HEURE DE FIN]]-ListeCours[[#This Row],[HEURE DE DÉBUT]],"")</f>
        <v>0.16666666666666669</v>
      </c>
      <c r="H94" s="63" t="s">
        <v>92</v>
      </c>
      <c r="I94" s="63"/>
      <c r="J94" s="117" t="str">
        <f>IF(ListeCours[[#This Row],[DATE]],A94&amp;"_"&amp;COUNTIF($A$3:A94,A94),"")</f>
        <v>M4 - Aspects juridiques de la vie de l’entreprise_10</v>
      </c>
      <c r="K94" s="118" t="str">
        <f>IF(ListeCours[[#This Row],[DATE]],D94&amp;"_"&amp;COUNTIF($D$3:D94,D94),"")</f>
        <v>D. LABORIE_10</v>
      </c>
      <c r="L94" s="109">
        <f>IF(ListeCours[[#This Row],[DATE]],MONTH(ListeCours[[#This Row],[DATE]]),"")</f>
        <v>8</v>
      </c>
      <c r="M94" s="107">
        <f>IF(ListeCours[[#This Row],[DATE]],COUNTIF($L$3:L94,L94),"")</f>
        <v>10</v>
      </c>
      <c r="N94" s="109">
        <f>IF(ListeCours[[#This Row],[DATE]],YEAR(ListeCours[[#This Row],[DATE]]),"")</f>
        <v>2023</v>
      </c>
      <c r="O94" s="109" t="str">
        <f>IF(ListeCours[[#This Row],[DATE]],CONCATENATE(ListeCours[[#This Row],[mois]],".",ListeCours[[#This Row],[freq.mois]],".",ListeCours[[#This Row],[année]]),"")</f>
        <v>8.10.2023</v>
      </c>
      <c r="P94" s="109" t="str">
        <f>IFERROR(VLOOKUP(ListeCours[[#This Row],[FORMATEUR]],tables!$G$20:$H$54,2,0),"")</f>
        <v>LABOR</v>
      </c>
      <c r="Q94" s="110">
        <f>IF(ListeCours[[#This Row],[DATE]],ROW()-ROW(ListeCours[[#Headers],[UNIQUE]]),"")</f>
        <v>92</v>
      </c>
    </row>
    <row r="95" spans="1:17" ht="24" hidden="1" customHeight="1" x14ac:dyDescent="0.25">
      <c r="A95" s="61" t="s">
        <v>188</v>
      </c>
      <c r="B95" s="60" t="s">
        <v>251</v>
      </c>
      <c r="C95" s="59">
        <v>45162</v>
      </c>
      <c r="D95" s="60" t="s">
        <v>275</v>
      </c>
      <c r="E95" s="62">
        <v>0.70833333333333337</v>
      </c>
      <c r="F95" s="62">
        <v>0.83333333333333337</v>
      </c>
      <c r="G95" s="114">
        <f>IF(ListeCours[[#This Row],[DATE]],ListeCours[[#This Row],[HEURE DE FIN]]-ListeCours[[#This Row],[HEURE DE DÉBUT]],"")</f>
        <v>0.125</v>
      </c>
      <c r="H95" s="63" t="s">
        <v>92</v>
      </c>
      <c r="I95" s="63"/>
      <c r="J95" s="117" t="str">
        <f>IF(ListeCours[[#This Row],[DATE]],A95&amp;"_"&amp;COUNTIF($A$3:A95,A95),"")</f>
        <v>M4 - Aspects juridiques de la vie de l’entreprise_11</v>
      </c>
      <c r="K95" s="118" t="str">
        <f>IF(ListeCours[[#This Row],[DATE]],D95&amp;"_"&amp;COUNTIF($D$3:D95,D95),"")</f>
        <v>D. LABORIE_11</v>
      </c>
      <c r="L95" s="109">
        <f>IF(ListeCours[[#This Row],[DATE]],MONTH(ListeCours[[#This Row],[DATE]]),"")</f>
        <v>8</v>
      </c>
      <c r="M95" s="107">
        <f>IF(ListeCours[[#This Row],[DATE]],COUNTIF($L$3:L95,L95),"")</f>
        <v>11</v>
      </c>
      <c r="N95" s="109">
        <f>IF(ListeCours[[#This Row],[DATE]],YEAR(ListeCours[[#This Row],[DATE]]),"")</f>
        <v>2023</v>
      </c>
      <c r="O95" s="109" t="str">
        <f>IF(ListeCours[[#This Row],[DATE]],CONCATENATE(ListeCours[[#This Row],[mois]],".",ListeCours[[#This Row],[freq.mois]],".",ListeCours[[#This Row],[année]]),"")</f>
        <v>8.11.2023</v>
      </c>
      <c r="P95" s="109" t="str">
        <f>IFERROR(VLOOKUP(ListeCours[[#This Row],[FORMATEUR]],tables!$G$20:$H$54,2,0),"")</f>
        <v>LABOR</v>
      </c>
      <c r="Q95" s="110">
        <f>IF(ListeCours[[#This Row],[DATE]],ROW()-ROW(ListeCours[[#Headers],[UNIQUE]]),"")</f>
        <v>93</v>
      </c>
    </row>
    <row r="96" spans="1:17" ht="24" hidden="1" customHeight="1" x14ac:dyDescent="0.25">
      <c r="A96" s="61" t="s">
        <v>188</v>
      </c>
      <c r="B96" s="60" t="s">
        <v>251</v>
      </c>
      <c r="C96" s="59">
        <v>45163</v>
      </c>
      <c r="D96" s="60" t="s">
        <v>275</v>
      </c>
      <c r="E96" s="62">
        <v>0.70833333333333337</v>
      </c>
      <c r="F96" s="62">
        <v>0.83333333333333337</v>
      </c>
      <c r="G96" s="114">
        <f>IF(ListeCours[[#This Row],[DATE]],ListeCours[[#This Row],[HEURE DE FIN]]-ListeCours[[#This Row],[HEURE DE DÉBUT]],"")</f>
        <v>0.125</v>
      </c>
      <c r="H96" s="63" t="s">
        <v>92</v>
      </c>
      <c r="I96" s="63"/>
      <c r="J96" s="117" t="str">
        <f>IF(ListeCours[[#This Row],[DATE]],A96&amp;"_"&amp;COUNTIF($A$3:A96,A96),"")</f>
        <v>M4 - Aspects juridiques de la vie de l’entreprise_12</v>
      </c>
      <c r="K96" s="118" t="str">
        <f>IF(ListeCours[[#This Row],[DATE]],D96&amp;"_"&amp;COUNTIF($D$3:D96,D96),"")</f>
        <v>D. LABORIE_12</v>
      </c>
      <c r="L96" s="109">
        <f>IF(ListeCours[[#This Row],[DATE]],MONTH(ListeCours[[#This Row],[DATE]]),"")</f>
        <v>8</v>
      </c>
      <c r="M96" s="107">
        <f>IF(ListeCours[[#This Row],[DATE]],COUNTIF($L$3:L96,L96),"")</f>
        <v>12</v>
      </c>
      <c r="N96" s="109">
        <f>IF(ListeCours[[#This Row],[DATE]],YEAR(ListeCours[[#This Row],[DATE]]),"")</f>
        <v>2023</v>
      </c>
      <c r="O96" s="109" t="str">
        <f>IF(ListeCours[[#This Row],[DATE]],CONCATENATE(ListeCours[[#This Row],[mois]],".",ListeCours[[#This Row],[freq.mois]],".",ListeCours[[#This Row],[année]]),"")</f>
        <v>8.12.2023</v>
      </c>
      <c r="P96" s="109" t="str">
        <f>IFERROR(VLOOKUP(ListeCours[[#This Row],[FORMATEUR]],tables!$G$20:$H$54,2,0),"")</f>
        <v>LABOR</v>
      </c>
      <c r="Q96" s="110">
        <f>IF(ListeCours[[#This Row],[DATE]],ROW()-ROW(ListeCours[[#Headers],[UNIQUE]]),"")</f>
        <v>94</v>
      </c>
    </row>
    <row r="97" spans="1:17" ht="24" hidden="1" customHeight="1" x14ac:dyDescent="0.25">
      <c r="A97" s="61" t="s">
        <v>188</v>
      </c>
      <c r="B97" s="60" t="s">
        <v>251</v>
      </c>
      <c r="C97" s="59">
        <v>45164</v>
      </c>
      <c r="D97" s="60" t="s">
        <v>275</v>
      </c>
      <c r="E97" s="62">
        <v>0.33333333333333331</v>
      </c>
      <c r="F97" s="62">
        <v>0.5</v>
      </c>
      <c r="G97" s="114">
        <f>IF(ListeCours[[#This Row],[DATE]],ListeCours[[#This Row],[HEURE DE FIN]]-ListeCours[[#This Row],[HEURE DE DÉBUT]],"")</f>
        <v>0.16666666666666669</v>
      </c>
      <c r="H97" s="63" t="s">
        <v>92</v>
      </c>
      <c r="I97" s="63"/>
      <c r="J97" s="117" t="str">
        <f>IF(ListeCours[[#This Row],[DATE]],A97&amp;"_"&amp;COUNTIF($A$3:A97,A97),"")</f>
        <v>M4 - Aspects juridiques de la vie de l’entreprise_13</v>
      </c>
      <c r="K97" s="118" t="str">
        <f>IF(ListeCours[[#This Row],[DATE]],D97&amp;"_"&amp;COUNTIF($D$3:D97,D97),"")</f>
        <v>D. LABORIE_13</v>
      </c>
      <c r="L97" s="109">
        <f>IF(ListeCours[[#This Row],[DATE]],MONTH(ListeCours[[#This Row],[DATE]]),"")</f>
        <v>8</v>
      </c>
      <c r="M97" s="107">
        <f>IF(ListeCours[[#This Row],[DATE]],COUNTIF($L$3:L97,L97),"")</f>
        <v>13</v>
      </c>
      <c r="N97" s="109">
        <f>IF(ListeCours[[#This Row],[DATE]],YEAR(ListeCours[[#This Row],[DATE]]),"")</f>
        <v>2023</v>
      </c>
      <c r="O97" s="109" t="str">
        <f>IF(ListeCours[[#This Row],[DATE]],CONCATENATE(ListeCours[[#This Row],[mois]],".",ListeCours[[#This Row],[freq.mois]],".",ListeCours[[#This Row],[année]]),"")</f>
        <v>8.13.2023</v>
      </c>
      <c r="P97" s="109" t="str">
        <f>IFERROR(VLOOKUP(ListeCours[[#This Row],[FORMATEUR]],tables!$G$20:$H$54,2,0),"")</f>
        <v>LABOR</v>
      </c>
      <c r="Q97" s="110">
        <f>IF(ListeCours[[#This Row],[DATE]],ROW()-ROW(ListeCours[[#Headers],[UNIQUE]]),"")</f>
        <v>95</v>
      </c>
    </row>
    <row r="98" spans="1:17" ht="24" hidden="1" customHeight="1" x14ac:dyDescent="0.25">
      <c r="A98" s="61" t="s">
        <v>188</v>
      </c>
      <c r="B98" s="60" t="s">
        <v>251</v>
      </c>
      <c r="C98" s="59">
        <v>45169</v>
      </c>
      <c r="D98" s="60" t="s">
        <v>275</v>
      </c>
      <c r="E98" s="62">
        <v>0.70833333333333337</v>
      </c>
      <c r="F98" s="62">
        <v>0.79166666666666663</v>
      </c>
      <c r="G98" s="114">
        <f>IF(ListeCours[[#This Row],[DATE]],ListeCours[[#This Row],[HEURE DE FIN]]-ListeCours[[#This Row],[HEURE DE DÉBUT]],"")</f>
        <v>8.3333333333333259E-2</v>
      </c>
      <c r="H98" s="63" t="s">
        <v>92</v>
      </c>
      <c r="I98" s="63"/>
      <c r="J98" s="117" t="str">
        <f>IF(ListeCours[[#This Row],[DATE]],A98&amp;"_"&amp;COUNTIF($A$3:A98,A98),"")</f>
        <v>M4 - Aspects juridiques de la vie de l’entreprise_14</v>
      </c>
      <c r="K98" s="118" t="str">
        <f>IF(ListeCours[[#This Row],[DATE]],D98&amp;"_"&amp;COUNTIF($D$3:D98,D98),"")</f>
        <v>D. LABORIE_14</v>
      </c>
      <c r="L98" s="109">
        <f>IF(ListeCours[[#This Row],[DATE]],MONTH(ListeCours[[#This Row],[DATE]]),"")</f>
        <v>8</v>
      </c>
      <c r="M98" s="107">
        <f>IF(ListeCours[[#This Row],[DATE]],COUNTIF($L$3:L98,L98),"")</f>
        <v>14</v>
      </c>
      <c r="N98" s="109">
        <f>IF(ListeCours[[#This Row],[DATE]],YEAR(ListeCours[[#This Row],[DATE]]),"")</f>
        <v>2023</v>
      </c>
      <c r="O98" s="109" t="str">
        <f>IF(ListeCours[[#This Row],[DATE]],CONCATENATE(ListeCours[[#This Row],[mois]],".",ListeCours[[#This Row],[freq.mois]],".",ListeCours[[#This Row],[année]]),"")</f>
        <v>8.14.2023</v>
      </c>
      <c r="P98" s="109" t="str">
        <f>IFERROR(VLOOKUP(ListeCours[[#This Row],[FORMATEUR]],tables!$G$20:$H$54,2,0),"")</f>
        <v>LABOR</v>
      </c>
      <c r="Q98" s="110">
        <f>IF(ListeCours[[#This Row],[DATE]],ROW()-ROW(ListeCours[[#Headers],[UNIQUE]]),"")</f>
        <v>96</v>
      </c>
    </row>
    <row r="99" spans="1:17" ht="24" hidden="1" customHeight="1" x14ac:dyDescent="0.25">
      <c r="A99" s="61" t="s">
        <v>297</v>
      </c>
      <c r="B99" s="60" t="s">
        <v>235</v>
      </c>
      <c r="C99" s="59">
        <v>45170</v>
      </c>
      <c r="D99" s="60" t="s">
        <v>276</v>
      </c>
      <c r="E99" s="62">
        <v>0.70833333333333337</v>
      </c>
      <c r="F99" s="62">
        <v>0.83333333333333337</v>
      </c>
      <c r="G99" s="114">
        <f>IF(ListeCours[[#This Row],[DATE]],ListeCours[[#This Row],[HEURE DE FIN]]-ListeCours[[#This Row],[HEURE DE DÉBUT]],"")</f>
        <v>0.125</v>
      </c>
      <c r="H99" s="63" t="s">
        <v>92</v>
      </c>
      <c r="I99" s="63"/>
      <c r="J99" s="117" t="str">
        <f>IF(ListeCours[[#This Row],[DATE]],A99&amp;"_"&amp;COUNTIF($A$3:A99,A99),"")</f>
        <v>M6 - Planification et optimisation exploitation transport et logistique_16</v>
      </c>
      <c r="K99" s="118" t="str">
        <f>IF(ListeCours[[#This Row],[DATE]],D99&amp;"_"&amp;COUNTIF($D$3:D99,D99),"")</f>
        <v>F. ETHEVE_5</v>
      </c>
      <c r="L99" s="109">
        <f>IF(ListeCours[[#This Row],[DATE]],MONTH(ListeCours[[#This Row],[DATE]]),"")</f>
        <v>9</v>
      </c>
      <c r="M99" s="107">
        <f>IF(ListeCours[[#This Row],[DATE]],COUNTIF($L$3:L99,L99),"")</f>
        <v>1</v>
      </c>
      <c r="N99" s="109">
        <f>IF(ListeCours[[#This Row],[DATE]],YEAR(ListeCours[[#This Row],[DATE]]),"")</f>
        <v>2023</v>
      </c>
      <c r="O99" s="109" t="str">
        <f>IF(ListeCours[[#This Row],[DATE]],CONCATENATE(ListeCours[[#This Row],[mois]],".",ListeCours[[#This Row],[freq.mois]],".",ListeCours[[#This Row],[année]]),"")</f>
        <v>9.1.2023</v>
      </c>
      <c r="P99" s="109" t="str">
        <f>IFERROR(VLOOKUP(ListeCours[[#This Row],[FORMATEUR]],tables!$G$20:$H$54,2,0),"")</f>
        <v>ETHEV</v>
      </c>
      <c r="Q99" s="110">
        <f>IF(ListeCours[[#This Row],[DATE]],ROW()-ROW(ListeCours[[#Headers],[UNIQUE]]),"")</f>
        <v>97</v>
      </c>
    </row>
    <row r="100" spans="1:17" ht="24" hidden="1" customHeight="1" x14ac:dyDescent="0.25">
      <c r="A100" s="61" t="s">
        <v>297</v>
      </c>
      <c r="B100" s="60" t="s">
        <v>235</v>
      </c>
      <c r="C100" s="59">
        <v>45171</v>
      </c>
      <c r="D100" s="60" t="s">
        <v>276</v>
      </c>
      <c r="E100" s="62">
        <v>0.33333333333333331</v>
      </c>
      <c r="F100" s="62">
        <v>0.5</v>
      </c>
      <c r="G100" s="114">
        <f>IF(ListeCours[[#This Row],[DATE]],ListeCours[[#This Row],[HEURE DE FIN]]-ListeCours[[#This Row],[HEURE DE DÉBUT]],"")</f>
        <v>0.16666666666666669</v>
      </c>
      <c r="H100" s="63" t="s">
        <v>92</v>
      </c>
      <c r="I100" s="63"/>
      <c r="J100" s="117" t="str">
        <f>IF(ListeCours[[#This Row],[DATE]],A100&amp;"_"&amp;COUNTIF($A$3:A100,A100),"")</f>
        <v>M6 - Planification et optimisation exploitation transport et logistique_17</v>
      </c>
      <c r="K100" s="118" t="str">
        <f>IF(ListeCours[[#This Row],[DATE]],D100&amp;"_"&amp;COUNTIF($D$3:D100,D100),"")</f>
        <v>F. ETHEVE_6</v>
      </c>
      <c r="L100" s="109">
        <f>IF(ListeCours[[#This Row],[DATE]],MONTH(ListeCours[[#This Row],[DATE]]),"")</f>
        <v>9</v>
      </c>
      <c r="M100" s="107">
        <f>IF(ListeCours[[#This Row],[DATE]],COUNTIF($L$3:L100,L100),"")</f>
        <v>2</v>
      </c>
      <c r="N100" s="109">
        <f>IF(ListeCours[[#This Row],[DATE]],YEAR(ListeCours[[#This Row],[DATE]]),"")</f>
        <v>2023</v>
      </c>
      <c r="O100" s="109" t="str">
        <f>IF(ListeCours[[#This Row],[DATE]],CONCATENATE(ListeCours[[#This Row],[mois]],".",ListeCours[[#This Row],[freq.mois]],".",ListeCours[[#This Row],[année]]),"")</f>
        <v>9.2.2023</v>
      </c>
      <c r="P100" s="109" t="str">
        <f>IFERROR(VLOOKUP(ListeCours[[#This Row],[FORMATEUR]],tables!$G$20:$H$54,2,0),"")</f>
        <v>ETHEV</v>
      </c>
      <c r="Q100" s="110">
        <f>IF(ListeCours[[#This Row],[DATE]],ROW()-ROW(ListeCours[[#Headers],[UNIQUE]]),"")</f>
        <v>98</v>
      </c>
    </row>
    <row r="101" spans="1:17" ht="24" hidden="1" customHeight="1" x14ac:dyDescent="0.25">
      <c r="A101" s="61" t="s">
        <v>297</v>
      </c>
      <c r="B101" s="60" t="s">
        <v>235</v>
      </c>
      <c r="C101" s="59">
        <v>45176</v>
      </c>
      <c r="D101" s="60" t="s">
        <v>276</v>
      </c>
      <c r="E101" s="62">
        <v>0.70833333333333337</v>
      </c>
      <c r="F101" s="62">
        <v>0.83333333333333337</v>
      </c>
      <c r="G101" s="114">
        <f>IF(ListeCours[[#This Row],[DATE]],ListeCours[[#This Row],[HEURE DE FIN]]-ListeCours[[#This Row],[HEURE DE DÉBUT]],"")</f>
        <v>0.125</v>
      </c>
      <c r="H101" s="63" t="s">
        <v>92</v>
      </c>
      <c r="I101" s="63"/>
      <c r="J101" s="117" t="str">
        <f>IF(ListeCours[[#This Row],[DATE]],A101&amp;"_"&amp;COUNTIF($A$3:A101,A101),"")</f>
        <v>M6 - Planification et optimisation exploitation transport et logistique_18</v>
      </c>
      <c r="K101" s="118" t="str">
        <f>IF(ListeCours[[#This Row],[DATE]],D101&amp;"_"&amp;COUNTIF($D$3:D101,D101),"")</f>
        <v>F. ETHEVE_7</v>
      </c>
      <c r="L101" s="109">
        <f>IF(ListeCours[[#This Row],[DATE]],MONTH(ListeCours[[#This Row],[DATE]]),"")</f>
        <v>9</v>
      </c>
      <c r="M101" s="107">
        <f>IF(ListeCours[[#This Row],[DATE]],COUNTIF($L$3:L101,L101),"")</f>
        <v>3</v>
      </c>
      <c r="N101" s="109">
        <f>IF(ListeCours[[#This Row],[DATE]],YEAR(ListeCours[[#This Row],[DATE]]),"")</f>
        <v>2023</v>
      </c>
      <c r="O101" s="109" t="str">
        <f>IF(ListeCours[[#This Row],[DATE]],CONCATENATE(ListeCours[[#This Row],[mois]],".",ListeCours[[#This Row],[freq.mois]],".",ListeCours[[#This Row],[année]]),"")</f>
        <v>9.3.2023</v>
      </c>
      <c r="P101" s="109" t="str">
        <f>IFERROR(VLOOKUP(ListeCours[[#This Row],[FORMATEUR]],tables!$G$20:$H$54,2,0),"")</f>
        <v>ETHEV</v>
      </c>
      <c r="Q101" s="110">
        <f>IF(ListeCours[[#This Row],[DATE]],ROW()-ROW(ListeCours[[#Headers],[UNIQUE]]),"")</f>
        <v>99</v>
      </c>
    </row>
    <row r="102" spans="1:17" ht="24" hidden="1" customHeight="1" x14ac:dyDescent="0.25">
      <c r="A102" s="61" t="s">
        <v>297</v>
      </c>
      <c r="B102" s="60" t="s">
        <v>235</v>
      </c>
      <c r="C102" s="59">
        <v>45177</v>
      </c>
      <c r="D102" s="60" t="s">
        <v>276</v>
      </c>
      <c r="E102" s="62">
        <v>0.70833333333333337</v>
      </c>
      <c r="F102" s="62">
        <v>0.83333333333333337</v>
      </c>
      <c r="G102" s="114">
        <f>IF(ListeCours[[#This Row],[DATE]],ListeCours[[#This Row],[HEURE DE FIN]]-ListeCours[[#This Row],[HEURE DE DÉBUT]],"")</f>
        <v>0.125</v>
      </c>
      <c r="H102" s="63" t="s">
        <v>92</v>
      </c>
      <c r="I102" s="63"/>
      <c r="J102" s="117" t="str">
        <f>IF(ListeCours[[#This Row],[DATE]],A102&amp;"_"&amp;COUNTIF($A$3:A102,A102),"")</f>
        <v>M6 - Planification et optimisation exploitation transport et logistique_19</v>
      </c>
      <c r="K102" s="118" t="str">
        <f>IF(ListeCours[[#This Row],[DATE]],D102&amp;"_"&amp;COUNTIF($D$3:D102,D102),"")</f>
        <v>F. ETHEVE_8</v>
      </c>
      <c r="L102" s="109">
        <f>IF(ListeCours[[#This Row],[DATE]],MONTH(ListeCours[[#This Row],[DATE]]),"")</f>
        <v>9</v>
      </c>
      <c r="M102" s="107">
        <f>IF(ListeCours[[#This Row],[DATE]],COUNTIF($L$3:L102,L102),"")</f>
        <v>4</v>
      </c>
      <c r="N102" s="109">
        <f>IF(ListeCours[[#This Row],[DATE]],YEAR(ListeCours[[#This Row],[DATE]]),"")</f>
        <v>2023</v>
      </c>
      <c r="O102" s="109" t="str">
        <f>IF(ListeCours[[#This Row],[DATE]],CONCATENATE(ListeCours[[#This Row],[mois]],".",ListeCours[[#This Row],[freq.mois]],".",ListeCours[[#This Row],[année]]),"")</f>
        <v>9.4.2023</v>
      </c>
      <c r="P102" s="109" t="str">
        <f>IFERROR(VLOOKUP(ListeCours[[#This Row],[FORMATEUR]],tables!$G$20:$H$54,2,0),"")</f>
        <v>ETHEV</v>
      </c>
      <c r="Q102" s="110">
        <f>IF(ListeCours[[#This Row],[DATE]],ROW()-ROW(ListeCours[[#Headers],[UNIQUE]]),"")</f>
        <v>100</v>
      </c>
    </row>
    <row r="103" spans="1:17" ht="24" hidden="1" customHeight="1" x14ac:dyDescent="0.25">
      <c r="A103" s="61" t="s">
        <v>298</v>
      </c>
      <c r="B103" s="60" t="s">
        <v>238</v>
      </c>
      <c r="C103" s="59">
        <v>45178</v>
      </c>
      <c r="D103" s="60" t="s">
        <v>276</v>
      </c>
      <c r="E103" s="62">
        <v>0.33333333333333331</v>
      </c>
      <c r="F103" s="62">
        <v>0.5</v>
      </c>
      <c r="G103" s="114">
        <f>IF(ListeCours[[#This Row],[DATE]],ListeCours[[#This Row],[HEURE DE FIN]]-ListeCours[[#This Row],[HEURE DE DÉBUT]],"")</f>
        <v>0.16666666666666669</v>
      </c>
      <c r="H103" s="63" t="s">
        <v>92</v>
      </c>
      <c r="I103" s="63"/>
      <c r="J103" s="117" t="str">
        <f>IF(ListeCours[[#This Row],[DATE]],A103&amp;"_"&amp;COUNTIF($A$3:A103,A103),"")</f>
        <v>M7 - Procédures RH et droit social_8</v>
      </c>
      <c r="K103" s="118" t="str">
        <f>IF(ListeCours[[#This Row],[DATE]],D103&amp;"_"&amp;COUNTIF($D$3:D103,D103),"")</f>
        <v>F. ETHEVE_9</v>
      </c>
      <c r="L103" s="109">
        <f>IF(ListeCours[[#This Row],[DATE]],MONTH(ListeCours[[#This Row],[DATE]]),"")</f>
        <v>9</v>
      </c>
      <c r="M103" s="107">
        <f>IF(ListeCours[[#This Row],[DATE]],COUNTIF($L$3:L103,L103),"")</f>
        <v>5</v>
      </c>
      <c r="N103" s="109">
        <f>IF(ListeCours[[#This Row],[DATE]],YEAR(ListeCours[[#This Row],[DATE]]),"")</f>
        <v>2023</v>
      </c>
      <c r="O103" s="109" t="str">
        <f>IF(ListeCours[[#This Row],[DATE]],CONCATENATE(ListeCours[[#This Row],[mois]],".",ListeCours[[#This Row],[freq.mois]],".",ListeCours[[#This Row],[année]]),"")</f>
        <v>9.5.2023</v>
      </c>
      <c r="P103" s="109" t="str">
        <f>IFERROR(VLOOKUP(ListeCours[[#This Row],[FORMATEUR]],tables!$G$20:$H$54,2,0),"")</f>
        <v>ETHEV</v>
      </c>
      <c r="Q103" s="110">
        <f>IF(ListeCours[[#This Row],[DATE]],ROW()-ROW(ListeCours[[#Headers],[UNIQUE]]),"")</f>
        <v>101</v>
      </c>
    </row>
    <row r="104" spans="1:17" ht="24" hidden="1" customHeight="1" x14ac:dyDescent="0.25">
      <c r="A104" s="61" t="s">
        <v>298</v>
      </c>
      <c r="B104" s="60" t="s">
        <v>238</v>
      </c>
      <c r="C104" s="59">
        <v>45183</v>
      </c>
      <c r="D104" s="60" t="s">
        <v>276</v>
      </c>
      <c r="E104" s="62">
        <v>0.70833333333333337</v>
      </c>
      <c r="F104" s="62">
        <v>0.83333333333333337</v>
      </c>
      <c r="G104" s="114">
        <f>IF(ListeCours[[#This Row],[DATE]],ListeCours[[#This Row],[HEURE DE FIN]]-ListeCours[[#This Row],[HEURE DE DÉBUT]],"")</f>
        <v>0.125</v>
      </c>
      <c r="H104" s="63" t="s">
        <v>92</v>
      </c>
      <c r="I104" s="63"/>
      <c r="J104" s="117" t="str">
        <f>IF(ListeCours[[#This Row],[DATE]],A104&amp;"_"&amp;COUNTIF($A$3:A104,A104),"")</f>
        <v>M7 - Procédures RH et droit social_9</v>
      </c>
      <c r="K104" s="118" t="str">
        <f>IF(ListeCours[[#This Row],[DATE]],D104&amp;"_"&amp;COUNTIF($D$3:D104,D104),"")</f>
        <v>F. ETHEVE_10</v>
      </c>
      <c r="L104" s="109">
        <f>IF(ListeCours[[#This Row],[DATE]],MONTH(ListeCours[[#This Row],[DATE]]),"")</f>
        <v>9</v>
      </c>
      <c r="M104" s="107">
        <f>IF(ListeCours[[#This Row],[DATE]],COUNTIF($L$3:L104,L104),"")</f>
        <v>6</v>
      </c>
      <c r="N104" s="109">
        <f>IF(ListeCours[[#This Row],[DATE]],YEAR(ListeCours[[#This Row],[DATE]]),"")</f>
        <v>2023</v>
      </c>
      <c r="O104" s="109" t="str">
        <f>IF(ListeCours[[#This Row],[DATE]],CONCATENATE(ListeCours[[#This Row],[mois]],".",ListeCours[[#This Row],[freq.mois]],".",ListeCours[[#This Row],[année]]),"")</f>
        <v>9.6.2023</v>
      </c>
      <c r="P104" s="109" t="str">
        <f>IFERROR(VLOOKUP(ListeCours[[#This Row],[FORMATEUR]],tables!$G$20:$H$54,2,0),"")</f>
        <v>ETHEV</v>
      </c>
      <c r="Q104" s="110">
        <f>IF(ListeCours[[#This Row],[DATE]],ROW()-ROW(ListeCours[[#Headers],[UNIQUE]]),"")</f>
        <v>102</v>
      </c>
    </row>
    <row r="105" spans="1:17" ht="24" hidden="1" customHeight="1" x14ac:dyDescent="0.25">
      <c r="A105" s="61" t="s">
        <v>298</v>
      </c>
      <c r="B105" s="60" t="s">
        <v>238</v>
      </c>
      <c r="C105" s="59">
        <v>45184</v>
      </c>
      <c r="D105" s="60" t="s">
        <v>276</v>
      </c>
      <c r="E105" s="62">
        <v>0.70833333333333337</v>
      </c>
      <c r="F105" s="62">
        <v>0.83333333333333337</v>
      </c>
      <c r="G105" s="114">
        <f>IF(ListeCours[[#This Row],[DATE]],ListeCours[[#This Row],[HEURE DE FIN]]-ListeCours[[#This Row],[HEURE DE DÉBUT]],"")</f>
        <v>0.125</v>
      </c>
      <c r="H105" s="63" t="s">
        <v>92</v>
      </c>
      <c r="I105" s="63"/>
      <c r="J105" s="117" t="str">
        <f>IF(ListeCours[[#This Row],[DATE]],A105&amp;"_"&amp;COUNTIF($A$3:A105,A105),"")</f>
        <v>M7 - Procédures RH et droit social_10</v>
      </c>
      <c r="K105" s="118" t="str">
        <f>IF(ListeCours[[#This Row],[DATE]],D105&amp;"_"&amp;COUNTIF($D$3:D105,D105),"")</f>
        <v>F. ETHEVE_11</v>
      </c>
      <c r="L105" s="109">
        <f>IF(ListeCours[[#This Row],[DATE]],MONTH(ListeCours[[#This Row],[DATE]]),"")</f>
        <v>9</v>
      </c>
      <c r="M105" s="107">
        <f>IF(ListeCours[[#This Row],[DATE]],COUNTIF($L$3:L105,L105),"")</f>
        <v>7</v>
      </c>
      <c r="N105" s="109">
        <f>IF(ListeCours[[#This Row],[DATE]],YEAR(ListeCours[[#This Row],[DATE]]),"")</f>
        <v>2023</v>
      </c>
      <c r="O105" s="109" t="str">
        <f>IF(ListeCours[[#This Row],[DATE]],CONCATENATE(ListeCours[[#This Row],[mois]],".",ListeCours[[#This Row],[freq.mois]],".",ListeCours[[#This Row],[année]]),"")</f>
        <v>9.7.2023</v>
      </c>
      <c r="P105" s="109" t="str">
        <f>IFERROR(VLOOKUP(ListeCours[[#This Row],[FORMATEUR]],tables!$G$20:$H$54,2,0),"")</f>
        <v>ETHEV</v>
      </c>
      <c r="Q105" s="110">
        <f>IF(ListeCours[[#This Row],[DATE]],ROW()-ROW(ListeCours[[#Headers],[UNIQUE]]),"")</f>
        <v>103</v>
      </c>
    </row>
    <row r="106" spans="1:17" ht="24" hidden="1" customHeight="1" x14ac:dyDescent="0.25">
      <c r="A106" s="61" t="s">
        <v>257</v>
      </c>
      <c r="B106" s="60" t="s">
        <v>364</v>
      </c>
      <c r="C106" s="59">
        <v>45185</v>
      </c>
      <c r="D106" s="60"/>
      <c r="E106" s="62">
        <v>0.33333333333333331</v>
      </c>
      <c r="F106" s="62">
        <v>0.39583333333333331</v>
      </c>
      <c r="G106" s="114">
        <f>IF(ListeCours[[#This Row],[DATE]],ListeCours[[#This Row],[HEURE DE FIN]]-ListeCours[[#This Row],[HEURE DE DÉBUT]],"")</f>
        <v>6.25E-2</v>
      </c>
      <c r="H106" s="63" t="s">
        <v>92</v>
      </c>
      <c r="I106" s="63" t="s">
        <v>368</v>
      </c>
      <c r="J106" s="117" t="str">
        <f>IF(ListeCours[[#This Row],[DATE]],A106&amp;"_"&amp;COUNTIF($A$3:A106,A106),"")</f>
        <v>Evaluation BC2_1</v>
      </c>
      <c r="K106" s="118" t="str">
        <f>IF(ListeCours[[#This Row],[DATE]],D106&amp;"_"&amp;COUNTIF($D$3:D106,D106),"")</f>
        <v>_0</v>
      </c>
      <c r="L106" s="109">
        <f>IF(ListeCours[[#This Row],[DATE]],MONTH(ListeCours[[#This Row],[DATE]]),"")</f>
        <v>9</v>
      </c>
      <c r="M106" s="107">
        <f>IF(ListeCours[[#This Row],[DATE]],COUNTIF($L$3:L106,L106),"")</f>
        <v>8</v>
      </c>
      <c r="N106" s="109">
        <f>IF(ListeCours[[#This Row],[DATE]],YEAR(ListeCours[[#This Row],[DATE]]),"")</f>
        <v>2023</v>
      </c>
      <c r="O106" s="109" t="str">
        <f>IF(ListeCours[[#This Row],[DATE]],CONCATENATE(ListeCours[[#This Row],[mois]],".",ListeCours[[#This Row],[freq.mois]],".",ListeCours[[#This Row],[année]]),"")</f>
        <v>9.8.2023</v>
      </c>
      <c r="P106" s="109" t="str">
        <f>IFERROR(VLOOKUP(ListeCours[[#This Row],[FORMATEUR]],tables!$G$20:$H$54,2,0),"")</f>
        <v/>
      </c>
      <c r="Q106" s="110">
        <f>IF(ListeCours[[#This Row],[DATE]],ROW()-ROW(ListeCours[[#Headers],[UNIQUE]]),"")</f>
        <v>104</v>
      </c>
    </row>
    <row r="107" spans="1:17" ht="24" hidden="1" customHeight="1" x14ac:dyDescent="0.25">
      <c r="A107" s="61" t="s">
        <v>298</v>
      </c>
      <c r="B107" s="60" t="s">
        <v>238</v>
      </c>
      <c r="C107" s="59">
        <v>45190</v>
      </c>
      <c r="D107" s="60" t="s">
        <v>276</v>
      </c>
      <c r="E107" s="62">
        <v>0.70833333333333337</v>
      </c>
      <c r="F107" s="62">
        <v>0.83333333333333337</v>
      </c>
      <c r="G107" s="114">
        <f>IF(ListeCours[[#This Row],[DATE]],ListeCours[[#This Row],[HEURE DE FIN]]-ListeCours[[#This Row],[HEURE DE DÉBUT]],"")</f>
        <v>0.125</v>
      </c>
      <c r="H107" s="63" t="s">
        <v>92</v>
      </c>
      <c r="I107" s="63"/>
      <c r="J107" s="117" t="str">
        <f>IF(ListeCours[[#This Row],[DATE]],A107&amp;"_"&amp;COUNTIF($A$3:A107,A107),"")</f>
        <v>M7 - Procédures RH et droit social_11</v>
      </c>
      <c r="K107" s="118" t="str">
        <f>IF(ListeCours[[#This Row],[DATE]],D107&amp;"_"&amp;COUNTIF($D$3:D107,D107),"")</f>
        <v>F. ETHEVE_12</v>
      </c>
      <c r="L107" s="109">
        <f>IF(ListeCours[[#This Row],[DATE]],MONTH(ListeCours[[#This Row],[DATE]]),"")</f>
        <v>9</v>
      </c>
      <c r="M107" s="107">
        <f>IF(ListeCours[[#This Row],[DATE]],COUNTIF($L$3:L107,L107),"")</f>
        <v>9</v>
      </c>
      <c r="N107" s="109">
        <f>IF(ListeCours[[#This Row],[DATE]],YEAR(ListeCours[[#This Row],[DATE]]),"")</f>
        <v>2023</v>
      </c>
      <c r="O107" s="109" t="str">
        <f>IF(ListeCours[[#This Row],[DATE]],CONCATENATE(ListeCours[[#This Row],[mois]],".",ListeCours[[#This Row],[freq.mois]],".",ListeCours[[#This Row],[année]]),"")</f>
        <v>9.9.2023</v>
      </c>
      <c r="P107" s="109" t="str">
        <f>IFERROR(VLOOKUP(ListeCours[[#This Row],[FORMATEUR]],tables!$G$20:$H$54,2,0),"")</f>
        <v>ETHEV</v>
      </c>
      <c r="Q107" s="110">
        <f>IF(ListeCours[[#This Row],[DATE]],ROW()-ROW(ListeCours[[#Headers],[UNIQUE]]),"")</f>
        <v>105</v>
      </c>
    </row>
    <row r="108" spans="1:17" ht="24" hidden="1" customHeight="1" x14ac:dyDescent="0.25">
      <c r="A108" s="61" t="s">
        <v>299</v>
      </c>
      <c r="B108" s="60" t="s">
        <v>241</v>
      </c>
      <c r="C108" s="59">
        <v>45191</v>
      </c>
      <c r="D108" s="60" t="s">
        <v>276</v>
      </c>
      <c r="E108" s="62">
        <v>0.70833333333333337</v>
      </c>
      <c r="F108" s="62">
        <v>0.83333333333333337</v>
      </c>
      <c r="G108" s="114">
        <f>IF(ListeCours[[#This Row],[DATE]],ListeCours[[#This Row],[HEURE DE FIN]]-ListeCours[[#This Row],[HEURE DE DÉBUT]],"")</f>
        <v>0.125</v>
      </c>
      <c r="H108" s="63" t="s">
        <v>92</v>
      </c>
      <c r="I108" s="63"/>
      <c r="J108" s="117" t="str">
        <f>IF(ListeCours[[#This Row],[DATE]],A108&amp;"_"&amp;COUNTIF($A$3:A108,A108),"")</f>
        <v>M8 - IRP et politique QHSSE_9</v>
      </c>
      <c r="K108" s="118" t="str">
        <f>IF(ListeCours[[#This Row],[DATE]],D108&amp;"_"&amp;COUNTIF($D$3:D108,D108),"")</f>
        <v>F. ETHEVE_13</v>
      </c>
      <c r="L108" s="109">
        <f>IF(ListeCours[[#This Row],[DATE]],MONTH(ListeCours[[#This Row],[DATE]]),"")</f>
        <v>9</v>
      </c>
      <c r="M108" s="107">
        <f>IF(ListeCours[[#This Row],[DATE]],COUNTIF($L$3:L108,L108),"")</f>
        <v>10</v>
      </c>
      <c r="N108" s="109">
        <f>IF(ListeCours[[#This Row],[DATE]],YEAR(ListeCours[[#This Row],[DATE]]),"")</f>
        <v>2023</v>
      </c>
      <c r="O108" s="109" t="str">
        <f>IF(ListeCours[[#This Row],[DATE]],CONCATENATE(ListeCours[[#This Row],[mois]],".",ListeCours[[#This Row],[freq.mois]],".",ListeCours[[#This Row],[année]]),"")</f>
        <v>9.10.2023</v>
      </c>
      <c r="P108" s="109" t="str">
        <f>IFERROR(VLOOKUP(ListeCours[[#This Row],[FORMATEUR]],tables!$G$20:$H$54,2,0),"")</f>
        <v>ETHEV</v>
      </c>
      <c r="Q108" s="110">
        <f>IF(ListeCours[[#This Row],[DATE]],ROW()-ROW(ListeCours[[#Headers],[UNIQUE]]),"")</f>
        <v>106</v>
      </c>
    </row>
    <row r="109" spans="1:17" ht="24" hidden="1" customHeight="1" x14ac:dyDescent="0.25">
      <c r="A109" s="61" t="s">
        <v>299</v>
      </c>
      <c r="B109" s="60" t="s">
        <v>241</v>
      </c>
      <c r="C109" s="59">
        <v>45192</v>
      </c>
      <c r="D109" s="60" t="s">
        <v>276</v>
      </c>
      <c r="E109" s="62">
        <v>0.33333333333333331</v>
      </c>
      <c r="F109" s="62">
        <v>0.5</v>
      </c>
      <c r="G109" s="114">
        <f>IF(ListeCours[[#This Row],[DATE]],ListeCours[[#This Row],[HEURE DE FIN]]-ListeCours[[#This Row],[HEURE DE DÉBUT]],"")</f>
        <v>0.16666666666666669</v>
      </c>
      <c r="H109" s="63" t="s">
        <v>92</v>
      </c>
      <c r="I109" s="63"/>
      <c r="J109" s="117" t="str">
        <f>IF(ListeCours[[#This Row],[DATE]],A109&amp;"_"&amp;COUNTIF($A$3:A109,A109),"")</f>
        <v>M8 - IRP et politique QHSSE_10</v>
      </c>
      <c r="K109" s="118" t="str">
        <f>IF(ListeCours[[#This Row],[DATE]],D109&amp;"_"&amp;COUNTIF($D$3:D109,D109),"")</f>
        <v>F. ETHEVE_14</v>
      </c>
      <c r="L109" s="109">
        <f>IF(ListeCours[[#This Row],[DATE]],MONTH(ListeCours[[#This Row],[DATE]]),"")</f>
        <v>9</v>
      </c>
      <c r="M109" s="107">
        <f>IF(ListeCours[[#This Row],[DATE]],COUNTIF($L$3:L109,L109),"")</f>
        <v>11</v>
      </c>
      <c r="N109" s="109">
        <f>IF(ListeCours[[#This Row],[DATE]],YEAR(ListeCours[[#This Row],[DATE]]),"")</f>
        <v>2023</v>
      </c>
      <c r="O109" s="109" t="str">
        <f>IF(ListeCours[[#This Row],[DATE]],CONCATENATE(ListeCours[[#This Row],[mois]],".",ListeCours[[#This Row],[freq.mois]],".",ListeCours[[#This Row],[année]]),"")</f>
        <v>9.11.2023</v>
      </c>
      <c r="P109" s="109" t="str">
        <f>IFERROR(VLOOKUP(ListeCours[[#This Row],[FORMATEUR]],tables!$G$20:$H$54,2,0),"")</f>
        <v>ETHEV</v>
      </c>
      <c r="Q109" s="110">
        <f>IF(ListeCours[[#This Row],[DATE]],ROW()-ROW(ListeCours[[#Headers],[UNIQUE]]),"")</f>
        <v>107</v>
      </c>
    </row>
    <row r="110" spans="1:17" ht="24" hidden="1" customHeight="1" x14ac:dyDescent="0.25">
      <c r="A110" s="61" t="s">
        <v>304</v>
      </c>
      <c r="B110" s="60" t="s">
        <v>65</v>
      </c>
      <c r="C110" s="59">
        <v>45197</v>
      </c>
      <c r="D110" s="60" t="s">
        <v>311</v>
      </c>
      <c r="E110" s="57">
        <v>0.70833333333333337</v>
      </c>
      <c r="F110" s="62">
        <v>0.83333333333333337</v>
      </c>
      <c r="G110" s="114">
        <f>IF(ListeCours[[#This Row],[DATE]],ListeCours[[#This Row],[HEURE DE FIN]]-ListeCours[[#This Row],[HEURE DE DÉBUT]],"")</f>
        <v>0.125</v>
      </c>
      <c r="H110" s="63" t="s">
        <v>92</v>
      </c>
      <c r="I110" s="63"/>
      <c r="J110" s="117" t="str">
        <f>IF(ListeCours[[#This Row],[DATE]],A110&amp;"_"&amp;COUNTIF($A$3:A110,A110),"")</f>
        <v>M13 - Accompagnement mémoire_7</v>
      </c>
      <c r="K110" s="118" t="str">
        <f>IF(ListeCours[[#This Row],[DATE]],D110&amp;"_"&amp;COUNTIF($D$3:D110,D110),"")</f>
        <v>S. LEBOURVELEC_3</v>
      </c>
      <c r="L110" s="109">
        <f>IF(ListeCours[[#This Row],[DATE]],MONTH(ListeCours[[#This Row],[DATE]]),"")</f>
        <v>9</v>
      </c>
      <c r="M110" s="107">
        <f>IF(ListeCours[[#This Row],[DATE]],COUNTIF($L$3:L110,L110),"")</f>
        <v>12</v>
      </c>
      <c r="N110" s="109">
        <f>IF(ListeCours[[#This Row],[DATE]],YEAR(ListeCours[[#This Row],[DATE]]),"")</f>
        <v>2023</v>
      </c>
      <c r="O110" s="109" t="str">
        <f>IF(ListeCours[[#This Row],[DATE]],CONCATENATE(ListeCours[[#This Row],[mois]],".",ListeCours[[#This Row],[freq.mois]],".",ListeCours[[#This Row],[année]]),"")</f>
        <v>9.12.2023</v>
      </c>
      <c r="P110" s="109" t="str">
        <f>IFERROR(VLOOKUP(ListeCours[[#This Row],[FORMATEUR]],tables!$G$20:$H$54,2,0),"")</f>
        <v>LEBOU</v>
      </c>
      <c r="Q110" s="110">
        <f>IF(ListeCours[[#This Row],[DATE]],ROW()-ROW(ListeCours[[#Headers],[UNIQUE]]),"")</f>
        <v>108</v>
      </c>
    </row>
    <row r="111" spans="1:17" ht="24" hidden="1" customHeight="1" x14ac:dyDescent="0.25">
      <c r="A111" s="61" t="s">
        <v>300</v>
      </c>
      <c r="B111" s="60" t="s">
        <v>61</v>
      </c>
      <c r="C111" s="59">
        <v>45198</v>
      </c>
      <c r="D111" s="60" t="s">
        <v>279</v>
      </c>
      <c r="E111" s="62">
        <v>0.58333333333333337</v>
      </c>
      <c r="F111" s="62">
        <v>0.83333333333333337</v>
      </c>
      <c r="G111" s="114">
        <f>IF(ListeCours[[#This Row],[DATE]],ListeCours[[#This Row],[HEURE DE FIN]]-ListeCours[[#This Row],[HEURE DE DÉBUT]],"")</f>
        <v>0.25</v>
      </c>
      <c r="H111" s="63" t="s">
        <v>92</v>
      </c>
      <c r="I111" s="63"/>
      <c r="J111" s="117" t="str">
        <f>IF(ListeCours[[#This Row],[DATE]],A111&amp;"_"&amp;COUNTIF($A$3:A111,A111),"")</f>
        <v>M9 - Les comptes de fin d’exercice_1</v>
      </c>
      <c r="K111" s="118" t="str">
        <f>IF(ListeCours[[#This Row],[DATE]],D111&amp;"_"&amp;COUNTIF($D$3:D111,D111),"")</f>
        <v>G. CHEVRANT-BRETON_1</v>
      </c>
      <c r="L111" s="109">
        <f>IF(ListeCours[[#This Row],[DATE]],MONTH(ListeCours[[#This Row],[DATE]]),"")</f>
        <v>9</v>
      </c>
      <c r="M111" s="107">
        <f>IF(ListeCours[[#This Row],[DATE]],COUNTIF($L$3:L111,L111),"")</f>
        <v>13</v>
      </c>
      <c r="N111" s="109">
        <f>IF(ListeCours[[#This Row],[DATE]],YEAR(ListeCours[[#This Row],[DATE]]),"")</f>
        <v>2023</v>
      </c>
      <c r="O111" s="109" t="str">
        <f>IF(ListeCours[[#This Row],[DATE]],CONCATENATE(ListeCours[[#This Row],[mois]],".",ListeCours[[#This Row],[freq.mois]],".",ListeCours[[#This Row],[année]]),"")</f>
        <v>9.13.2023</v>
      </c>
      <c r="P111" s="109" t="str">
        <f>IFERROR(VLOOKUP(ListeCours[[#This Row],[FORMATEUR]],tables!$G$20:$H$54,2,0),"")</f>
        <v>CHEVR</v>
      </c>
      <c r="Q111" s="110">
        <f>IF(ListeCours[[#This Row],[DATE]],ROW()-ROW(ListeCours[[#Headers],[UNIQUE]]),"")</f>
        <v>109</v>
      </c>
    </row>
    <row r="112" spans="1:17" ht="24" hidden="1" customHeight="1" x14ac:dyDescent="0.25">
      <c r="A112" s="61" t="s">
        <v>300</v>
      </c>
      <c r="B112" s="60" t="s">
        <v>61</v>
      </c>
      <c r="C112" s="59">
        <v>45199</v>
      </c>
      <c r="D112" s="60" t="s">
        <v>279</v>
      </c>
      <c r="E112" s="62">
        <v>0.33333333333333331</v>
      </c>
      <c r="F112" s="62">
        <v>0.5</v>
      </c>
      <c r="G112" s="114">
        <f>IF(ListeCours[[#This Row],[DATE]],ListeCours[[#This Row],[HEURE DE FIN]]-ListeCours[[#This Row],[HEURE DE DÉBUT]],"")</f>
        <v>0.16666666666666669</v>
      </c>
      <c r="H112" s="63" t="s">
        <v>92</v>
      </c>
      <c r="I112" s="63"/>
      <c r="J112" s="117" t="str">
        <f>IF(ListeCours[[#This Row],[DATE]],A112&amp;"_"&amp;COUNTIF($A$3:A112,A112),"")</f>
        <v>M9 - Les comptes de fin d’exercice_2</v>
      </c>
      <c r="K112" s="118" t="str">
        <f>IF(ListeCours[[#This Row],[DATE]],D112&amp;"_"&amp;COUNTIF($D$3:D112,D112),"")</f>
        <v>G. CHEVRANT-BRETON_2</v>
      </c>
      <c r="L112" s="109">
        <f>IF(ListeCours[[#This Row],[DATE]],MONTH(ListeCours[[#This Row],[DATE]]),"")</f>
        <v>9</v>
      </c>
      <c r="M112" s="107">
        <f>IF(ListeCours[[#This Row],[DATE]],COUNTIF($L$3:L112,L112),"")</f>
        <v>14</v>
      </c>
      <c r="N112" s="109">
        <f>IF(ListeCours[[#This Row],[DATE]],YEAR(ListeCours[[#This Row],[DATE]]),"")</f>
        <v>2023</v>
      </c>
      <c r="O112" s="109" t="str">
        <f>IF(ListeCours[[#This Row],[DATE]],CONCATENATE(ListeCours[[#This Row],[mois]],".",ListeCours[[#This Row],[freq.mois]],".",ListeCours[[#This Row],[année]]),"")</f>
        <v>9.14.2023</v>
      </c>
      <c r="P112" s="109" t="str">
        <f>IFERROR(VLOOKUP(ListeCours[[#This Row],[FORMATEUR]],tables!$G$20:$H$54,2,0),"")</f>
        <v>CHEVR</v>
      </c>
      <c r="Q112" s="110">
        <f>IF(ListeCours[[#This Row],[DATE]],ROW()-ROW(ListeCours[[#Headers],[UNIQUE]]),"")</f>
        <v>110</v>
      </c>
    </row>
    <row r="113" spans="1:17" ht="24" hidden="1" customHeight="1" x14ac:dyDescent="0.25">
      <c r="A113" s="61" t="s">
        <v>300</v>
      </c>
      <c r="B113" s="60" t="s">
        <v>61</v>
      </c>
      <c r="C113" s="59">
        <v>45204</v>
      </c>
      <c r="D113" s="60" t="s">
        <v>279</v>
      </c>
      <c r="E113" s="62">
        <v>0.66666666666666663</v>
      </c>
      <c r="F113" s="62">
        <v>0.83333333333333337</v>
      </c>
      <c r="G113" s="114">
        <f>IF(ListeCours[[#This Row],[DATE]],ListeCours[[#This Row],[HEURE DE FIN]]-ListeCours[[#This Row],[HEURE DE DÉBUT]],"")</f>
        <v>0.16666666666666674</v>
      </c>
      <c r="H113" s="63" t="s">
        <v>92</v>
      </c>
      <c r="I113" s="63"/>
      <c r="J113" s="117" t="str">
        <f>IF(ListeCours[[#This Row],[DATE]],A113&amp;"_"&amp;COUNTIF($A$3:A113,A113),"")</f>
        <v>M9 - Les comptes de fin d’exercice_3</v>
      </c>
      <c r="K113" s="118" t="str">
        <f>IF(ListeCours[[#This Row],[DATE]],D113&amp;"_"&amp;COUNTIF($D$3:D113,D113),"")</f>
        <v>G. CHEVRANT-BRETON_3</v>
      </c>
      <c r="L113" s="109">
        <f>IF(ListeCours[[#This Row],[DATE]],MONTH(ListeCours[[#This Row],[DATE]]),"")</f>
        <v>10</v>
      </c>
      <c r="M113" s="107">
        <f>IF(ListeCours[[#This Row],[DATE]],COUNTIF($L$3:L113,L113),"")</f>
        <v>1</v>
      </c>
      <c r="N113" s="109">
        <f>IF(ListeCours[[#This Row],[DATE]],YEAR(ListeCours[[#This Row],[DATE]]),"")</f>
        <v>2023</v>
      </c>
      <c r="O113" s="109" t="str">
        <f>IF(ListeCours[[#This Row],[DATE]],CONCATENATE(ListeCours[[#This Row],[mois]],".",ListeCours[[#This Row],[freq.mois]],".",ListeCours[[#This Row],[année]]),"")</f>
        <v>10.1.2023</v>
      </c>
      <c r="P113" s="109" t="str">
        <f>IFERROR(VLOOKUP(ListeCours[[#This Row],[FORMATEUR]],tables!$G$20:$H$54,2,0),"")</f>
        <v>CHEVR</v>
      </c>
      <c r="Q113" s="110">
        <f>IF(ListeCours[[#This Row],[DATE]],ROW()-ROW(ListeCours[[#Headers],[UNIQUE]]),"")</f>
        <v>111</v>
      </c>
    </row>
    <row r="114" spans="1:17" ht="24" hidden="1" customHeight="1" x14ac:dyDescent="0.25">
      <c r="A114" s="61" t="s">
        <v>300</v>
      </c>
      <c r="B114" s="60" t="s">
        <v>61</v>
      </c>
      <c r="C114" s="59">
        <v>45205</v>
      </c>
      <c r="D114" s="60" t="s">
        <v>279</v>
      </c>
      <c r="E114" s="62">
        <v>0.66666666666666663</v>
      </c>
      <c r="F114" s="62">
        <v>0.83333333333333337</v>
      </c>
      <c r="G114" s="114">
        <f>IF(ListeCours[[#This Row],[DATE]],ListeCours[[#This Row],[HEURE DE FIN]]-ListeCours[[#This Row],[HEURE DE DÉBUT]],"")</f>
        <v>0.16666666666666674</v>
      </c>
      <c r="H114" s="63" t="s">
        <v>92</v>
      </c>
      <c r="I114" s="63"/>
      <c r="J114" s="117" t="str">
        <f>IF(ListeCours[[#This Row],[DATE]],A114&amp;"_"&amp;COUNTIF($A$3:A114,A114),"")</f>
        <v>M9 - Les comptes de fin d’exercice_4</v>
      </c>
      <c r="K114" s="118" t="str">
        <f>IF(ListeCours[[#This Row],[DATE]],D114&amp;"_"&amp;COUNTIF($D$3:D114,D114),"")</f>
        <v>G. CHEVRANT-BRETON_4</v>
      </c>
      <c r="L114" s="109">
        <f>IF(ListeCours[[#This Row],[DATE]],MONTH(ListeCours[[#This Row],[DATE]]),"")</f>
        <v>10</v>
      </c>
      <c r="M114" s="107">
        <f>IF(ListeCours[[#This Row],[DATE]],COUNTIF($L$3:L114,L114),"")</f>
        <v>2</v>
      </c>
      <c r="N114" s="109">
        <f>IF(ListeCours[[#This Row],[DATE]],YEAR(ListeCours[[#This Row],[DATE]]),"")</f>
        <v>2023</v>
      </c>
      <c r="O114" s="109" t="str">
        <f>IF(ListeCours[[#This Row],[DATE]],CONCATENATE(ListeCours[[#This Row],[mois]],".",ListeCours[[#This Row],[freq.mois]],".",ListeCours[[#This Row],[année]]),"")</f>
        <v>10.2.2023</v>
      </c>
      <c r="P114" s="109" t="str">
        <f>IFERROR(VLOOKUP(ListeCours[[#This Row],[FORMATEUR]],tables!$G$20:$H$54,2,0),"")</f>
        <v>CHEVR</v>
      </c>
      <c r="Q114" s="110">
        <f>IF(ListeCours[[#This Row],[DATE]],ROW()-ROW(ListeCours[[#Headers],[UNIQUE]]),"")</f>
        <v>112</v>
      </c>
    </row>
    <row r="115" spans="1:17" ht="24" hidden="1" customHeight="1" x14ac:dyDescent="0.25">
      <c r="A115" s="61" t="s">
        <v>300</v>
      </c>
      <c r="B115" s="60" t="s">
        <v>61</v>
      </c>
      <c r="C115" s="59">
        <v>45206</v>
      </c>
      <c r="D115" s="60" t="s">
        <v>279</v>
      </c>
      <c r="E115" s="62">
        <v>0.33333333333333331</v>
      </c>
      <c r="F115" s="62">
        <v>0.5</v>
      </c>
      <c r="G115" s="114">
        <f>IF(ListeCours[[#This Row],[DATE]],ListeCours[[#This Row],[HEURE DE FIN]]-ListeCours[[#This Row],[HEURE DE DÉBUT]],"")</f>
        <v>0.16666666666666669</v>
      </c>
      <c r="H115" s="63" t="s">
        <v>92</v>
      </c>
      <c r="I115" s="63"/>
      <c r="J115" s="117" t="str">
        <f>IF(ListeCours[[#This Row],[DATE]],A115&amp;"_"&amp;COUNTIF($A$3:A115,A115),"")</f>
        <v>M9 - Les comptes de fin d’exercice_5</v>
      </c>
      <c r="K115" s="118" t="str">
        <f>IF(ListeCours[[#This Row],[DATE]],D115&amp;"_"&amp;COUNTIF($D$3:D115,D115),"")</f>
        <v>G. CHEVRANT-BRETON_5</v>
      </c>
      <c r="L115" s="109">
        <f>IF(ListeCours[[#This Row],[DATE]],MONTH(ListeCours[[#This Row],[DATE]]),"")</f>
        <v>10</v>
      </c>
      <c r="M115" s="107">
        <f>IF(ListeCours[[#This Row],[DATE]],COUNTIF($L$3:L115,L115),"")</f>
        <v>3</v>
      </c>
      <c r="N115" s="109">
        <f>IF(ListeCours[[#This Row],[DATE]],YEAR(ListeCours[[#This Row],[DATE]]),"")</f>
        <v>2023</v>
      </c>
      <c r="O115" s="109" t="str">
        <f>IF(ListeCours[[#This Row],[DATE]],CONCATENATE(ListeCours[[#This Row],[mois]],".",ListeCours[[#This Row],[freq.mois]],".",ListeCours[[#This Row],[année]]),"")</f>
        <v>10.3.2023</v>
      </c>
      <c r="P115" s="109" t="str">
        <f>IFERROR(VLOOKUP(ListeCours[[#This Row],[FORMATEUR]],tables!$G$20:$H$54,2,0),"")</f>
        <v>CHEVR</v>
      </c>
      <c r="Q115" s="110">
        <f>IF(ListeCours[[#This Row],[DATE]],ROW()-ROW(ListeCours[[#Headers],[UNIQUE]]),"")</f>
        <v>113</v>
      </c>
    </row>
    <row r="116" spans="1:17" ht="24" hidden="1" customHeight="1" x14ac:dyDescent="0.25">
      <c r="A116" s="61" t="s">
        <v>300</v>
      </c>
      <c r="B116" s="60" t="s">
        <v>61</v>
      </c>
      <c r="C116" s="59">
        <v>45211</v>
      </c>
      <c r="D116" s="60" t="s">
        <v>279</v>
      </c>
      <c r="E116" s="62">
        <v>0.66666666666666663</v>
      </c>
      <c r="F116" s="62">
        <v>0.83333333333333337</v>
      </c>
      <c r="G116" s="114">
        <f>IF(ListeCours[[#This Row],[DATE]],ListeCours[[#This Row],[HEURE DE FIN]]-ListeCours[[#This Row],[HEURE DE DÉBUT]],"")</f>
        <v>0.16666666666666674</v>
      </c>
      <c r="H116" s="63" t="s">
        <v>92</v>
      </c>
      <c r="I116" s="63"/>
      <c r="J116" s="117" t="str">
        <f>IF(ListeCours[[#This Row],[DATE]],A116&amp;"_"&amp;COUNTIF($A$3:A116,A116),"")</f>
        <v>M9 - Les comptes de fin d’exercice_6</v>
      </c>
      <c r="K116" s="118" t="str">
        <f>IF(ListeCours[[#This Row],[DATE]],D116&amp;"_"&amp;COUNTIF($D$3:D116,D116),"")</f>
        <v>G. CHEVRANT-BRETON_6</v>
      </c>
      <c r="L116" s="109">
        <f>IF(ListeCours[[#This Row],[DATE]],MONTH(ListeCours[[#This Row],[DATE]]),"")</f>
        <v>10</v>
      </c>
      <c r="M116" s="107">
        <f>IF(ListeCours[[#This Row],[DATE]],COUNTIF($L$3:L116,L116),"")</f>
        <v>4</v>
      </c>
      <c r="N116" s="109">
        <f>IF(ListeCours[[#This Row],[DATE]],YEAR(ListeCours[[#This Row],[DATE]]),"")</f>
        <v>2023</v>
      </c>
      <c r="O116" s="109" t="str">
        <f>IF(ListeCours[[#This Row],[DATE]],CONCATENATE(ListeCours[[#This Row],[mois]],".",ListeCours[[#This Row],[freq.mois]],".",ListeCours[[#This Row],[année]]),"")</f>
        <v>10.4.2023</v>
      </c>
      <c r="P116" s="109" t="str">
        <f>IFERROR(VLOOKUP(ListeCours[[#This Row],[FORMATEUR]],tables!$G$20:$H$54,2,0),"")</f>
        <v>CHEVR</v>
      </c>
      <c r="Q116" s="110">
        <f>IF(ListeCours[[#This Row],[DATE]],ROW()-ROW(ListeCours[[#Headers],[UNIQUE]]),"")</f>
        <v>114</v>
      </c>
    </row>
    <row r="117" spans="1:17" ht="24" hidden="1" customHeight="1" x14ac:dyDescent="0.25">
      <c r="A117" s="61" t="s">
        <v>300</v>
      </c>
      <c r="B117" s="60" t="s">
        <v>61</v>
      </c>
      <c r="C117" s="59">
        <v>45212</v>
      </c>
      <c r="D117" s="60" t="s">
        <v>279</v>
      </c>
      <c r="E117" s="62">
        <v>0.66666666666666663</v>
      </c>
      <c r="F117" s="62">
        <v>0.75</v>
      </c>
      <c r="G117" s="114">
        <f>IF(ListeCours[[#This Row],[DATE]],ListeCours[[#This Row],[HEURE DE FIN]]-ListeCours[[#This Row],[HEURE DE DÉBUT]],"")</f>
        <v>8.333333333333337E-2</v>
      </c>
      <c r="H117" s="63" t="s">
        <v>92</v>
      </c>
      <c r="I117" s="63"/>
      <c r="J117" s="117" t="str">
        <f>IF(ListeCours[[#This Row],[DATE]],A117&amp;"_"&amp;COUNTIF($A$3:A117,A117),"")</f>
        <v>M9 - Les comptes de fin d’exercice_7</v>
      </c>
      <c r="K117" s="118" t="str">
        <f>IF(ListeCours[[#This Row],[DATE]],D117&amp;"_"&amp;COUNTIF($D$3:D117,D117),"")</f>
        <v>G. CHEVRANT-BRETON_7</v>
      </c>
      <c r="L117" s="109">
        <f>IF(ListeCours[[#This Row],[DATE]],MONTH(ListeCours[[#This Row],[DATE]]),"")</f>
        <v>10</v>
      </c>
      <c r="M117" s="107">
        <f>IF(ListeCours[[#This Row],[DATE]],COUNTIF($L$3:L117,L117),"")</f>
        <v>5</v>
      </c>
      <c r="N117" s="109">
        <f>IF(ListeCours[[#This Row],[DATE]],YEAR(ListeCours[[#This Row],[DATE]]),"")</f>
        <v>2023</v>
      </c>
      <c r="O117" s="109" t="str">
        <f>IF(ListeCours[[#This Row],[DATE]],CONCATENATE(ListeCours[[#This Row],[mois]],".",ListeCours[[#This Row],[freq.mois]],".",ListeCours[[#This Row],[année]]),"")</f>
        <v>10.5.2023</v>
      </c>
      <c r="P117" s="109" t="str">
        <f>IFERROR(VLOOKUP(ListeCours[[#This Row],[FORMATEUR]],tables!$G$20:$H$54,2,0),"")</f>
        <v>CHEVR</v>
      </c>
      <c r="Q117" s="110">
        <f>IF(ListeCours[[#This Row],[DATE]],ROW()-ROW(ListeCours[[#Headers],[UNIQUE]]),"")</f>
        <v>115</v>
      </c>
    </row>
    <row r="118" spans="1:17" ht="24" hidden="1" customHeight="1" x14ac:dyDescent="0.25">
      <c r="A118" s="61" t="s">
        <v>301</v>
      </c>
      <c r="B118" s="60" t="s">
        <v>62</v>
      </c>
      <c r="C118" s="59">
        <v>45212</v>
      </c>
      <c r="D118" s="60" t="s">
        <v>279</v>
      </c>
      <c r="E118" s="62">
        <v>0.75</v>
      </c>
      <c r="F118" s="62">
        <v>0.83333333333333337</v>
      </c>
      <c r="G118" s="178">
        <f>IF(ListeCours[[#This Row],[DATE]],ListeCours[[#This Row],[HEURE DE FIN]]-ListeCours[[#This Row],[HEURE DE DÉBUT]],"")</f>
        <v>8.333333333333337E-2</v>
      </c>
      <c r="H118" s="63" t="s">
        <v>92</v>
      </c>
      <c r="I118" s="63"/>
      <c r="J118" s="172" t="str">
        <f>IF(ListeCours[[#This Row],[DATE]],A118&amp;"_"&amp;COUNTIF($A$3:A118,A118),"")</f>
        <v>M10 - Opérations de fin d’exercice_1</v>
      </c>
      <c r="K118" s="118" t="str">
        <f>IF(ListeCours[[#This Row],[DATE]],D118&amp;"_"&amp;COUNTIF($D$3:D118,D118),"")</f>
        <v>G. CHEVRANT-BRETON_8</v>
      </c>
      <c r="L118" s="109">
        <f>IF(ListeCours[[#This Row],[DATE]],MONTH(ListeCours[[#This Row],[DATE]]),"")</f>
        <v>10</v>
      </c>
      <c r="M118" s="109">
        <f>IF(ListeCours[[#This Row],[DATE]],COUNTIF($L$3:L118,L118),"")</f>
        <v>6</v>
      </c>
      <c r="N118" s="109">
        <f>IF(ListeCours[[#This Row],[DATE]],YEAR(ListeCours[[#This Row],[DATE]]),"")</f>
        <v>2023</v>
      </c>
      <c r="O118" s="109" t="str">
        <f>IF(ListeCours[[#This Row],[DATE]],CONCATENATE(ListeCours[[#This Row],[mois]],".",ListeCours[[#This Row],[freq.mois]],".",ListeCours[[#This Row],[année]]),"")</f>
        <v>10.6.2023</v>
      </c>
      <c r="P118" s="109" t="str">
        <f>IFERROR(VLOOKUP(ListeCours[[#This Row],[FORMATEUR]],tables!$G$20:$H$54,2,0),"")</f>
        <v>CHEVR</v>
      </c>
      <c r="Q118" s="179">
        <f>IF(ListeCours[[#This Row],[DATE]],ROW()-ROW(ListeCours[[#Headers],[UNIQUE]]),"")</f>
        <v>116</v>
      </c>
    </row>
    <row r="119" spans="1:17" ht="24" hidden="1" customHeight="1" x14ac:dyDescent="0.25">
      <c r="A119" s="61" t="s">
        <v>259</v>
      </c>
      <c r="B119" s="60" t="s">
        <v>365</v>
      </c>
      <c r="C119" s="59">
        <v>45213</v>
      </c>
      <c r="D119" s="60"/>
      <c r="E119" s="62">
        <v>0.33333333333333331</v>
      </c>
      <c r="F119" s="62">
        <v>0.39583333333333331</v>
      </c>
      <c r="G119" s="114">
        <f>IF(ListeCours[[#This Row],[DATE]],ListeCours[[#This Row],[HEURE DE FIN]]-ListeCours[[#This Row],[HEURE DE DÉBUT]],"")</f>
        <v>6.25E-2</v>
      </c>
      <c r="H119" s="63" t="s">
        <v>92</v>
      </c>
      <c r="I119" s="63" t="s">
        <v>369</v>
      </c>
      <c r="J119" s="117" t="str">
        <f>IF(ListeCours[[#This Row],[DATE]],A119&amp;"_"&amp;COUNTIF($A$3:A119,A119),"")</f>
        <v>Evaluation BC3_1</v>
      </c>
      <c r="K119" s="118" t="str">
        <f>IF(ListeCours[[#This Row],[DATE]],D119&amp;"_"&amp;COUNTIF($D$3:D119,D119),"")</f>
        <v>_0</v>
      </c>
      <c r="L119" s="109">
        <f>IF(ListeCours[[#This Row],[DATE]],MONTH(ListeCours[[#This Row],[DATE]]),"")</f>
        <v>10</v>
      </c>
      <c r="M119" s="107">
        <f>IF(ListeCours[[#This Row],[DATE]],COUNTIF($L$3:L119,L119),"")</f>
        <v>7</v>
      </c>
      <c r="N119" s="109">
        <f>IF(ListeCours[[#This Row],[DATE]],YEAR(ListeCours[[#This Row],[DATE]]),"")</f>
        <v>2023</v>
      </c>
      <c r="O119" s="109" t="str">
        <f>IF(ListeCours[[#This Row],[DATE]],CONCATENATE(ListeCours[[#This Row],[mois]],".",ListeCours[[#This Row],[freq.mois]],".",ListeCours[[#This Row],[année]]),"")</f>
        <v>10.7.2023</v>
      </c>
      <c r="P119" s="109" t="str">
        <f>IFERROR(VLOOKUP(ListeCours[[#This Row],[FORMATEUR]],tables!$G$20:$H$54,2,0),"")</f>
        <v/>
      </c>
      <c r="Q119" s="110">
        <f>IF(ListeCours[[#This Row],[DATE]],ROW()-ROW(ListeCours[[#Headers],[UNIQUE]]),"")</f>
        <v>117</v>
      </c>
    </row>
    <row r="120" spans="1:17" ht="24" hidden="1" customHeight="1" x14ac:dyDescent="0.25">
      <c r="A120" s="61" t="s">
        <v>301</v>
      </c>
      <c r="B120" s="60" t="s">
        <v>62</v>
      </c>
      <c r="C120" s="59">
        <v>45213</v>
      </c>
      <c r="D120" s="60" t="s">
        <v>279</v>
      </c>
      <c r="E120" s="62">
        <v>0.41666666666666669</v>
      </c>
      <c r="F120" s="62">
        <v>0.5</v>
      </c>
      <c r="G120" s="114">
        <f>IF(ListeCours[[#This Row],[DATE]],ListeCours[[#This Row],[HEURE DE FIN]]-ListeCours[[#This Row],[HEURE DE DÉBUT]],"")</f>
        <v>8.3333333333333315E-2</v>
      </c>
      <c r="H120" s="63" t="s">
        <v>92</v>
      </c>
      <c r="I120" s="63"/>
      <c r="J120" s="117" t="str">
        <f>IF(ListeCours[[#This Row],[DATE]],A120&amp;"_"&amp;COUNTIF($A$3:A120,A120),"")</f>
        <v>M10 - Opérations de fin d’exercice_2</v>
      </c>
      <c r="K120" s="118" t="str">
        <f>IF(ListeCours[[#This Row],[DATE]],D120&amp;"_"&amp;COUNTIF($D$3:D120,D120),"")</f>
        <v>G. CHEVRANT-BRETON_9</v>
      </c>
      <c r="L120" s="109">
        <f>IF(ListeCours[[#This Row],[DATE]],MONTH(ListeCours[[#This Row],[DATE]]),"")</f>
        <v>10</v>
      </c>
      <c r="M120" s="107">
        <f>IF(ListeCours[[#This Row],[DATE]],COUNTIF($L$3:L120,L120),"")</f>
        <v>8</v>
      </c>
      <c r="N120" s="109">
        <f>IF(ListeCours[[#This Row],[DATE]],YEAR(ListeCours[[#This Row],[DATE]]),"")</f>
        <v>2023</v>
      </c>
      <c r="O120" s="109" t="str">
        <f>IF(ListeCours[[#This Row],[DATE]],CONCATENATE(ListeCours[[#This Row],[mois]],".",ListeCours[[#This Row],[freq.mois]],".",ListeCours[[#This Row],[année]]),"")</f>
        <v>10.8.2023</v>
      </c>
      <c r="P120" s="109" t="str">
        <f>IFERROR(VLOOKUP(ListeCours[[#This Row],[FORMATEUR]],tables!$G$20:$H$54,2,0),"")</f>
        <v>CHEVR</v>
      </c>
      <c r="Q120" s="110">
        <f>IF(ListeCours[[#This Row],[DATE]],ROW()-ROW(ListeCours[[#Headers],[UNIQUE]]),"")</f>
        <v>118</v>
      </c>
    </row>
    <row r="121" spans="1:17" ht="24" hidden="1" customHeight="1" x14ac:dyDescent="0.25">
      <c r="A121" s="61" t="s">
        <v>301</v>
      </c>
      <c r="B121" s="60" t="s">
        <v>62</v>
      </c>
      <c r="C121" s="59">
        <v>45218</v>
      </c>
      <c r="D121" s="60" t="s">
        <v>279</v>
      </c>
      <c r="E121" s="62">
        <v>0.66666666666666663</v>
      </c>
      <c r="F121" s="62">
        <v>0.83333333333333337</v>
      </c>
      <c r="G121" s="114">
        <f>IF(ListeCours[[#This Row],[DATE]],ListeCours[[#This Row],[HEURE DE FIN]]-ListeCours[[#This Row],[HEURE DE DÉBUT]],"")</f>
        <v>0.16666666666666674</v>
      </c>
      <c r="H121" s="63" t="s">
        <v>92</v>
      </c>
      <c r="I121" s="63"/>
      <c r="J121" s="117" t="str">
        <f>IF(ListeCours[[#This Row],[DATE]],A121&amp;"_"&amp;COUNTIF($A$3:A121,A121),"")</f>
        <v>M10 - Opérations de fin d’exercice_3</v>
      </c>
      <c r="K121" s="118" t="str">
        <f>IF(ListeCours[[#This Row],[DATE]],D121&amp;"_"&amp;COUNTIF($D$3:D121,D121),"")</f>
        <v>G. CHEVRANT-BRETON_10</v>
      </c>
      <c r="L121" s="109">
        <f>IF(ListeCours[[#This Row],[DATE]],MONTH(ListeCours[[#This Row],[DATE]]),"")</f>
        <v>10</v>
      </c>
      <c r="M121" s="107">
        <f>IF(ListeCours[[#This Row],[DATE]],COUNTIF($L$3:L121,L121),"")</f>
        <v>9</v>
      </c>
      <c r="N121" s="109">
        <f>IF(ListeCours[[#This Row],[DATE]],YEAR(ListeCours[[#This Row],[DATE]]),"")</f>
        <v>2023</v>
      </c>
      <c r="O121" s="109" t="str">
        <f>IF(ListeCours[[#This Row],[DATE]],CONCATENATE(ListeCours[[#This Row],[mois]],".",ListeCours[[#This Row],[freq.mois]],".",ListeCours[[#This Row],[année]]),"")</f>
        <v>10.9.2023</v>
      </c>
      <c r="P121" s="109" t="str">
        <f>IFERROR(VLOOKUP(ListeCours[[#This Row],[FORMATEUR]],tables!$G$20:$H$54,2,0),"")</f>
        <v>CHEVR</v>
      </c>
      <c r="Q121" s="110">
        <f>IF(ListeCours[[#This Row],[DATE]],ROW()-ROW(ListeCours[[#Headers],[UNIQUE]]),"")</f>
        <v>119</v>
      </c>
    </row>
    <row r="122" spans="1:17" ht="24" hidden="1" customHeight="1" x14ac:dyDescent="0.25">
      <c r="A122" s="61" t="s">
        <v>301</v>
      </c>
      <c r="B122" s="60" t="s">
        <v>62</v>
      </c>
      <c r="C122" s="59">
        <v>45219</v>
      </c>
      <c r="D122" s="60" t="s">
        <v>279</v>
      </c>
      <c r="E122" s="62">
        <v>0.66666666666666663</v>
      </c>
      <c r="F122" s="62">
        <v>0.83333333333333337</v>
      </c>
      <c r="G122" s="114">
        <f>IF(ListeCours[[#This Row],[DATE]],ListeCours[[#This Row],[HEURE DE FIN]]-ListeCours[[#This Row],[HEURE DE DÉBUT]],"")</f>
        <v>0.16666666666666674</v>
      </c>
      <c r="H122" s="63" t="s">
        <v>92</v>
      </c>
      <c r="I122" s="63"/>
      <c r="J122" s="117" t="str">
        <f>IF(ListeCours[[#This Row],[DATE]],A122&amp;"_"&amp;COUNTIF($A$3:A122,A122),"")</f>
        <v>M10 - Opérations de fin d’exercice_4</v>
      </c>
      <c r="K122" s="118" t="str">
        <f>IF(ListeCours[[#This Row],[DATE]],D122&amp;"_"&amp;COUNTIF($D$3:D122,D122),"")</f>
        <v>G. CHEVRANT-BRETON_11</v>
      </c>
      <c r="L122" s="109">
        <f>IF(ListeCours[[#This Row],[DATE]],MONTH(ListeCours[[#This Row],[DATE]]),"")</f>
        <v>10</v>
      </c>
      <c r="M122" s="107">
        <f>IF(ListeCours[[#This Row],[DATE]],COUNTIF($L$3:L122,L122),"")</f>
        <v>10</v>
      </c>
      <c r="N122" s="109">
        <f>IF(ListeCours[[#This Row],[DATE]],YEAR(ListeCours[[#This Row],[DATE]]),"")</f>
        <v>2023</v>
      </c>
      <c r="O122" s="109" t="str">
        <f>IF(ListeCours[[#This Row],[DATE]],CONCATENATE(ListeCours[[#This Row],[mois]],".",ListeCours[[#This Row],[freq.mois]],".",ListeCours[[#This Row],[année]]),"")</f>
        <v>10.10.2023</v>
      </c>
      <c r="P122" s="109" t="str">
        <f>IFERROR(VLOOKUP(ListeCours[[#This Row],[FORMATEUR]],tables!$G$20:$H$54,2,0),"")</f>
        <v>CHEVR</v>
      </c>
      <c r="Q122" s="110">
        <f>IF(ListeCours[[#This Row],[DATE]],ROW()-ROW(ListeCours[[#Headers],[UNIQUE]]),"")</f>
        <v>120</v>
      </c>
    </row>
    <row r="123" spans="1:17" ht="24" hidden="1" customHeight="1" x14ac:dyDescent="0.25">
      <c r="A123" s="61" t="s">
        <v>301</v>
      </c>
      <c r="B123" s="60" t="s">
        <v>62</v>
      </c>
      <c r="C123" s="59">
        <v>45220</v>
      </c>
      <c r="D123" s="60" t="s">
        <v>279</v>
      </c>
      <c r="E123" s="62">
        <v>0.33333333333333331</v>
      </c>
      <c r="F123" s="62">
        <v>0.5</v>
      </c>
      <c r="G123" s="114">
        <f>IF(ListeCours[[#This Row],[DATE]],ListeCours[[#This Row],[HEURE DE FIN]]-ListeCours[[#This Row],[HEURE DE DÉBUT]],"")</f>
        <v>0.16666666666666669</v>
      </c>
      <c r="H123" s="63" t="s">
        <v>92</v>
      </c>
      <c r="I123" s="63"/>
      <c r="J123" s="117" t="str">
        <f>IF(ListeCours[[#This Row],[DATE]],A123&amp;"_"&amp;COUNTIF($A$3:A123,A123),"")</f>
        <v>M10 - Opérations de fin d’exercice_5</v>
      </c>
      <c r="K123" s="118" t="str">
        <f>IF(ListeCours[[#This Row],[DATE]],D123&amp;"_"&amp;COUNTIF($D$3:D123,D123),"")</f>
        <v>G. CHEVRANT-BRETON_12</v>
      </c>
      <c r="L123" s="109">
        <f>IF(ListeCours[[#This Row],[DATE]],MONTH(ListeCours[[#This Row],[DATE]]),"")</f>
        <v>10</v>
      </c>
      <c r="M123" s="107">
        <f>IF(ListeCours[[#This Row],[DATE]],COUNTIF($L$3:L123,L123),"")</f>
        <v>11</v>
      </c>
      <c r="N123" s="109">
        <f>IF(ListeCours[[#This Row],[DATE]],YEAR(ListeCours[[#This Row],[DATE]]),"")</f>
        <v>2023</v>
      </c>
      <c r="O123" s="109" t="str">
        <f>IF(ListeCours[[#This Row],[DATE]],CONCATENATE(ListeCours[[#This Row],[mois]],".",ListeCours[[#This Row],[freq.mois]],".",ListeCours[[#This Row],[année]]),"")</f>
        <v>10.11.2023</v>
      </c>
      <c r="P123" s="109" t="str">
        <f>IFERROR(VLOOKUP(ListeCours[[#This Row],[FORMATEUR]],tables!$G$20:$H$54,2,0),"")</f>
        <v>CHEVR</v>
      </c>
      <c r="Q123" s="110">
        <f>IF(ListeCours[[#This Row],[DATE]],ROW()-ROW(ListeCours[[#Headers],[UNIQUE]]),"")</f>
        <v>121</v>
      </c>
    </row>
    <row r="124" spans="1:17" ht="24" hidden="1" customHeight="1" x14ac:dyDescent="0.25">
      <c r="A124" s="61" t="s">
        <v>301</v>
      </c>
      <c r="B124" s="60" t="s">
        <v>62</v>
      </c>
      <c r="C124" s="59">
        <v>45225</v>
      </c>
      <c r="D124" s="60" t="s">
        <v>279</v>
      </c>
      <c r="E124" s="62">
        <v>0.66666666666666663</v>
      </c>
      <c r="F124" s="62">
        <v>0.83333333333333337</v>
      </c>
      <c r="G124" s="178">
        <f>IF(ListeCours[[#This Row],[DATE]],ListeCours[[#This Row],[HEURE DE FIN]]-ListeCours[[#This Row],[HEURE DE DÉBUT]],"")</f>
        <v>0.16666666666666674</v>
      </c>
      <c r="H124" s="63" t="s">
        <v>92</v>
      </c>
      <c r="I124" s="63"/>
      <c r="J124" s="172" t="str">
        <f>IF(ListeCours[[#This Row],[DATE]],A124&amp;"_"&amp;COUNTIF($A$3:A124,A124),"")</f>
        <v>M10 - Opérations de fin d’exercice_6</v>
      </c>
      <c r="K124" s="118" t="str">
        <f>IF(ListeCours[[#This Row],[DATE]],D124&amp;"_"&amp;COUNTIF($D$3:D124,D124),"")</f>
        <v>G. CHEVRANT-BRETON_13</v>
      </c>
      <c r="L124" s="109">
        <f>IF(ListeCours[[#This Row],[DATE]],MONTH(ListeCours[[#This Row],[DATE]]),"")</f>
        <v>10</v>
      </c>
      <c r="M124" s="109">
        <f>IF(ListeCours[[#This Row],[DATE]],COUNTIF($L$3:L124,L124),"")</f>
        <v>12</v>
      </c>
      <c r="N124" s="109">
        <f>IF(ListeCours[[#This Row],[DATE]],YEAR(ListeCours[[#This Row],[DATE]]),"")</f>
        <v>2023</v>
      </c>
      <c r="O124" s="109" t="str">
        <f>IF(ListeCours[[#This Row],[DATE]],CONCATENATE(ListeCours[[#This Row],[mois]],".",ListeCours[[#This Row],[freq.mois]],".",ListeCours[[#This Row],[année]]),"")</f>
        <v>10.12.2023</v>
      </c>
      <c r="P124" s="109" t="str">
        <f>IFERROR(VLOOKUP(ListeCours[[#This Row],[FORMATEUR]],tables!$G$20:$H$54,2,0),"")</f>
        <v>CHEVR</v>
      </c>
      <c r="Q124" s="179">
        <f>IF(ListeCours[[#This Row],[DATE]],ROW()-ROW(ListeCours[[#Headers],[UNIQUE]]),"")</f>
        <v>122</v>
      </c>
    </row>
    <row r="125" spans="1:17" ht="24" hidden="1" customHeight="1" x14ac:dyDescent="0.25">
      <c r="A125" s="61" t="s">
        <v>301</v>
      </c>
      <c r="B125" s="60" t="s">
        <v>62</v>
      </c>
      <c r="C125" s="59">
        <v>45226</v>
      </c>
      <c r="D125" s="60" t="s">
        <v>279</v>
      </c>
      <c r="E125" s="62">
        <v>0.66666666666666663</v>
      </c>
      <c r="F125" s="62">
        <v>0.70833333333333337</v>
      </c>
      <c r="G125" s="114">
        <f>IF(ListeCours[[#This Row],[DATE]],ListeCours[[#This Row],[HEURE DE FIN]]-ListeCours[[#This Row],[HEURE DE DÉBUT]],"")</f>
        <v>4.1666666666666741E-2</v>
      </c>
      <c r="H125" s="63" t="s">
        <v>92</v>
      </c>
      <c r="I125" s="63"/>
      <c r="J125" s="117" t="str">
        <f>IF(ListeCours[[#This Row],[DATE]],A125&amp;"_"&amp;COUNTIF($A$3:A125,A125),"")</f>
        <v>M10 - Opérations de fin d’exercice_7</v>
      </c>
      <c r="K125" s="118" t="str">
        <f>IF(ListeCours[[#This Row],[DATE]],D125&amp;"_"&amp;COUNTIF($D$3:D125,D125),"")</f>
        <v>G. CHEVRANT-BRETON_14</v>
      </c>
      <c r="L125" s="109">
        <f>IF(ListeCours[[#This Row],[DATE]],MONTH(ListeCours[[#This Row],[DATE]]),"")</f>
        <v>10</v>
      </c>
      <c r="M125" s="107">
        <f>IF(ListeCours[[#This Row],[DATE]],COUNTIF($L$3:L125,L125),"")</f>
        <v>13</v>
      </c>
      <c r="N125" s="109">
        <f>IF(ListeCours[[#This Row],[DATE]],YEAR(ListeCours[[#This Row],[DATE]]),"")</f>
        <v>2023</v>
      </c>
      <c r="O125" s="109" t="str">
        <f>IF(ListeCours[[#This Row],[DATE]],CONCATENATE(ListeCours[[#This Row],[mois]],".",ListeCours[[#This Row],[freq.mois]],".",ListeCours[[#This Row],[année]]),"")</f>
        <v>10.13.2023</v>
      </c>
      <c r="P125" s="109" t="str">
        <f>IFERROR(VLOOKUP(ListeCours[[#This Row],[FORMATEUR]],tables!$G$20:$H$54,2,0),"")</f>
        <v>CHEVR</v>
      </c>
      <c r="Q125" s="110">
        <f>IF(ListeCours[[#This Row],[DATE]],ROW()-ROW(ListeCours[[#Headers],[UNIQUE]]),"")</f>
        <v>123</v>
      </c>
    </row>
    <row r="126" spans="1:17" ht="24" hidden="1" customHeight="1" x14ac:dyDescent="0.25">
      <c r="A126" s="61" t="s">
        <v>302</v>
      </c>
      <c r="B126" s="60" t="s">
        <v>63</v>
      </c>
      <c r="C126" s="59">
        <v>45226</v>
      </c>
      <c r="D126" s="60" t="s">
        <v>279</v>
      </c>
      <c r="E126" s="62">
        <v>0.70833333333333337</v>
      </c>
      <c r="F126" s="62">
        <v>0.83333333333333337</v>
      </c>
      <c r="G126" s="178">
        <f>IF(ListeCours[[#This Row],[DATE]],ListeCours[[#This Row],[HEURE DE FIN]]-ListeCours[[#This Row],[HEURE DE DÉBUT]],"")</f>
        <v>0.125</v>
      </c>
      <c r="H126" s="63" t="s">
        <v>92</v>
      </c>
      <c r="I126" s="63"/>
      <c r="J126" s="172" t="str">
        <f>IF(ListeCours[[#This Row],[DATE]],A126&amp;"_"&amp;COUNTIF($A$3:A126,A126),"")</f>
        <v>M11 - La fiscalité_1</v>
      </c>
      <c r="K126" s="118" t="str">
        <f>IF(ListeCours[[#This Row],[DATE]],D126&amp;"_"&amp;COUNTIF($D$3:D126,D126),"")</f>
        <v>G. CHEVRANT-BRETON_15</v>
      </c>
      <c r="L126" s="109">
        <f>IF(ListeCours[[#This Row],[DATE]],MONTH(ListeCours[[#This Row],[DATE]]),"")</f>
        <v>10</v>
      </c>
      <c r="M126" s="109">
        <f>IF(ListeCours[[#This Row],[DATE]],COUNTIF($L$3:L126,L126),"")</f>
        <v>14</v>
      </c>
      <c r="N126" s="109">
        <f>IF(ListeCours[[#This Row],[DATE]],YEAR(ListeCours[[#This Row],[DATE]]),"")</f>
        <v>2023</v>
      </c>
      <c r="O126" s="109" t="str">
        <f>IF(ListeCours[[#This Row],[DATE]],CONCATENATE(ListeCours[[#This Row],[mois]],".",ListeCours[[#This Row],[freq.mois]],".",ListeCours[[#This Row],[année]]),"")</f>
        <v>10.14.2023</v>
      </c>
      <c r="P126" s="109" t="str">
        <f>IFERROR(VLOOKUP(ListeCours[[#This Row],[FORMATEUR]],tables!$G$20:$H$54,2,0),"")</f>
        <v>CHEVR</v>
      </c>
      <c r="Q126" s="179">
        <f>IF(ListeCours[[#This Row],[DATE]],ROW()-ROW(ListeCours[[#Headers],[UNIQUE]]),"")</f>
        <v>124</v>
      </c>
    </row>
    <row r="127" spans="1:17" ht="24" hidden="1" customHeight="1" x14ac:dyDescent="0.25">
      <c r="A127" s="61" t="s">
        <v>302</v>
      </c>
      <c r="B127" s="60" t="s">
        <v>63</v>
      </c>
      <c r="C127" s="59">
        <v>45227</v>
      </c>
      <c r="D127" s="60" t="s">
        <v>279</v>
      </c>
      <c r="E127" s="62">
        <v>0.33333333333333331</v>
      </c>
      <c r="F127" s="62">
        <v>0.5</v>
      </c>
      <c r="G127" s="114">
        <f>IF(ListeCours[[#This Row],[DATE]],ListeCours[[#This Row],[HEURE DE FIN]]-ListeCours[[#This Row],[HEURE DE DÉBUT]],"")</f>
        <v>0.16666666666666669</v>
      </c>
      <c r="H127" s="63" t="s">
        <v>92</v>
      </c>
      <c r="I127" s="63"/>
      <c r="J127" s="117" t="str">
        <f>IF(ListeCours[[#This Row],[DATE]],A127&amp;"_"&amp;COUNTIF($A$3:A127,A127),"")</f>
        <v>M11 - La fiscalité_2</v>
      </c>
      <c r="K127" s="118" t="str">
        <f>IF(ListeCours[[#This Row],[DATE]],D127&amp;"_"&amp;COUNTIF($D$3:D127,D127),"")</f>
        <v>G. CHEVRANT-BRETON_16</v>
      </c>
      <c r="L127" s="109">
        <f>IF(ListeCours[[#This Row],[DATE]],MONTH(ListeCours[[#This Row],[DATE]]),"")</f>
        <v>10</v>
      </c>
      <c r="M127" s="107">
        <f>IF(ListeCours[[#This Row],[DATE]],COUNTIF($L$3:L127,L127),"")</f>
        <v>15</v>
      </c>
      <c r="N127" s="109">
        <f>IF(ListeCours[[#This Row],[DATE]],YEAR(ListeCours[[#This Row],[DATE]]),"")</f>
        <v>2023</v>
      </c>
      <c r="O127" s="109" t="str">
        <f>IF(ListeCours[[#This Row],[DATE]],CONCATENATE(ListeCours[[#This Row],[mois]],".",ListeCours[[#This Row],[freq.mois]],".",ListeCours[[#This Row],[année]]),"")</f>
        <v>10.15.2023</v>
      </c>
      <c r="P127" s="109" t="str">
        <f>IFERROR(VLOOKUP(ListeCours[[#This Row],[FORMATEUR]],tables!$G$20:$H$54,2,0),"")</f>
        <v>CHEVR</v>
      </c>
      <c r="Q127" s="110">
        <f>IF(ListeCours[[#This Row],[DATE]],ROW()-ROW(ListeCours[[#Headers],[UNIQUE]]),"")</f>
        <v>125</v>
      </c>
    </row>
    <row r="128" spans="1:17" ht="24" customHeight="1" x14ac:dyDescent="0.25">
      <c r="A128" s="61" t="s">
        <v>303</v>
      </c>
      <c r="B128" s="60" t="s">
        <v>249</v>
      </c>
      <c r="C128" s="59">
        <v>45232</v>
      </c>
      <c r="D128" s="60" t="s">
        <v>273</v>
      </c>
      <c r="E128" s="62">
        <v>0.70833333333333337</v>
      </c>
      <c r="F128" s="62">
        <v>0.79166666666666663</v>
      </c>
      <c r="G128" s="114">
        <f>IF(ListeCours[[#This Row],[DATE]],ListeCours[[#This Row],[HEURE DE FIN]]-ListeCours[[#This Row],[HEURE DE DÉBUT]],"")</f>
        <v>8.3333333333333259E-2</v>
      </c>
      <c r="H128" s="63" t="s">
        <v>92</v>
      </c>
      <c r="I128" s="63"/>
      <c r="J128" s="117" t="str">
        <f>IF(ListeCours[[#This Row],[DATE]],A128&amp;"_"&amp;COUNTIF($A$3:A128,A128),"")</f>
        <v>M12 - KPI et SAV_1</v>
      </c>
      <c r="K128" s="118" t="str">
        <f>IF(ListeCours[[#This Row],[DATE]],D128&amp;"_"&amp;COUNTIF($D$3:D128,D128),"")</f>
        <v>S. COURLY_22</v>
      </c>
      <c r="L128" s="109">
        <f>IF(ListeCours[[#This Row],[DATE]],MONTH(ListeCours[[#This Row],[DATE]]),"")</f>
        <v>11</v>
      </c>
      <c r="M128" s="107">
        <f>IF(ListeCours[[#This Row],[DATE]],COUNTIF($L$3:L128,L128),"")</f>
        <v>1</v>
      </c>
      <c r="N128" s="109">
        <f>IF(ListeCours[[#This Row],[DATE]],YEAR(ListeCours[[#This Row],[DATE]]),"")</f>
        <v>2023</v>
      </c>
      <c r="O128" s="109" t="str">
        <f>IF(ListeCours[[#This Row],[DATE]],CONCATENATE(ListeCours[[#This Row],[mois]],".",ListeCours[[#This Row],[freq.mois]],".",ListeCours[[#This Row],[année]]),"")</f>
        <v>11.1.2023</v>
      </c>
      <c r="P128" s="109" t="str">
        <f>IFERROR(VLOOKUP(ListeCours[[#This Row],[FORMATEUR]],tables!$G$20:$H$54,2,0),"")</f>
        <v>COURL</v>
      </c>
      <c r="Q128" s="110">
        <f>IF(ListeCours[[#This Row],[DATE]],ROW()-ROW(ListeCours[[#Headers],[UNIQUE]]),"")</f>
        <v>126</v>
      </c>
    </row>
    <row r="129" spans="1:17" ht="24" customHeight="1" x14ac:dyDescent="0.25">
      <c r="A129" s="61" t="s">
        <v>303</v>
      </c>
      <c r="B129" s="60" t="s">
        <v>249</v>
      </c>
      <c r="C129" s="59">
        <v>45239</v>
      </c>
      <c r="D129" s="60" t="s">
        <v>273</v>
      </c>
      <c r="E129" s="62">
        <v>0.70833333333333337</v>
      </c>
      <c r="F129" s="62">
        <v>0.83333333333333337</v>
      </c>
      <c r="G129" s="114">
        <f>IF(ListeCours[[#This Row],[DATE]],ListeCours[[#This Row],[HEURE DE FIN]]-ListeCours[[#This Row],[HEURE DE DÉBUT]],"")</f>
        <v>0.125</v>
      </c>
      <c r="H129" s="63" t="s">
        <v>92</v>
      </c>
      <c r="I129" s="63"/>
      <c r="J129" s="117" t="str">
        <f>IF(ListeCours[[#This Row],[DATE]],A129&amp;"_"&amp;COUNTIF($A$3:A129,A129),"")</f>
        <v>M12 - KPI et SAV_2</v>
      </c>
      <c r="K129" s="118" t="str">
        <f>IF(ListeCours[[#This Row],[DATE]],D129&amp;"_"&amp;COUNTIF($D$3:D129,D129),"")</f>
        <v>S. COURLY_23</v>
      </c>
      <c r="L129" s="109">
        <f>IF(ListeCours[[#This Row],[DATE]],MONTH(ListeCours[[#This Row],[DATE]]),"")</f>
        <v>11</v>
      </c>
      <c r="M129" s="107">
        <f>IF(ListeCours[[#This Row],[DATE]],COUNTIF($L$3:L129,L129),"")</f>
        <v>2</v>
      </c>
      <c r="N129" s="109">
        <f>IF(ListeCours[[#This Row],[DATE]],YEAR(ListeCours[[#This Row],[DATE]]),"")</f>
        <v>2023</v>
      </c>
      <c r="O129" s="109" t="str">
        <f>IF(ListeCours[[#This Row],[DATE]],CONCATENATE(ListeCours[[#This Row],[mois]],".",ListeCours[[#This Row],[freq.mois]],".",ListeCours[[#This Row],[année]]),"")</f>
        <v>11.2.2023</v>
      </c>
      <c r="P129" s="109" t="str">
        <f>IFERROR(VLOOKUP(ListeCours[[#This Row],[FORMATEUR]],tables!$G$20:$H$54,2,0),"")</f>
        <v>COURL</v>
      </c>
      <c r="Q129" s="110">
        <f>IF(ListeCours[[#This Row],[DATE]],ROW()-ROW(ListeCours[[#Headers],[UNIQUE]]),"")</f>
        <v>127</v>
      </c>
    </row>
    <row r="130" spans="1:17" ht="24" customHeight="1" x14ac:dyDescent="0.25">
      <c r="A130" s="61" t="s">
        <v>303</v>
      </c>
      <c r="B130" s="60" t="s">
        <v>249</v>
      </c>
      <c r="C130" s="59">
        <v>45240</v>
      </c>
      <c r="D130" s="60" t="s">
        <v>273</v>
      </c>
      <c r="E130" s="62">
        <v>0.70833333333333337</v>
      </c>
      <c r="F130" s="62">
        <v>0.83333333333333337</v>
      </c>
      <c r="G130" s="114">
        <f>IF(ListeCours[[#This Row],[DATE]],ListeCours[[#This Row],[HEURE DE FIN]]-ListeCours[[#This Row],[HEURE DE DÉBUT]],"")</f>
        <v>0.125</v>
      </c>
      <c r="H130" s="63" t="s">
        <v>92</v>
      </c>
      <c r="I130" s="63"/>
      <c r="J130" s="117" t="str">
        <f>IF(ListeCours[[#This Row],[DATE]],A130&amp;"_"&amp;COUNTIF($A$3:A130,A130),"")</f>
        <v>M12 - KPI et SAV_3</v>
      </c>
      <c r="K130" s="118" t="str">
        <f>IF(ListeCours[[#This Row],[DATE]],D130&amp;"_"&amp;COUNTIF($D$3:D130,D130),"")</f>
        <v>S. COURLY_24</v>
      </c>
      <c r="L130" s="109">
        <f>IF(ListeCours[[#This Row],[DATE]],MONTH(ListeCours[[#This Row],[DATE]]),"")</f>
        <v>11</v>
      </c>
      <c r="M130" s="107">
        <f>IF(ListeCours[[#This Row],[DATE]],COUNTIF($L$3:L130,L130),"")</f>
        <v>3</v>
      </c>
      <c r="N130" s="109">
        <f>IF(ListeCours[[#This Row],[DATE]],YEAR(ListeCours[[#This Row],[DATE]]),"")</f>
        <v>2023</v>
      </c>
      <c r="O130" s="109" t="str">
        <f>IF(ListeCours[[#This Row],[DATE]],CONCATENATE(ListeCours[[#This Row],[mois]],".",ListeCours[[#This Row],[freq.mois]],".",ListeCours[[#This Row],[année]]),"")</f>
        <v>11.3.2023</v>
      </c>
      <c r="P130" s="109" t="str">
        <f>IFERROR(VLOOKUP(ListeCours[[#This Row],[FORMATEUR]],tables!$G$20:$H$54,2,0),"")</f>
        <v>COURL</v>
      </c>
      <c r="Q130" s="110">
        <f>IF(ListeCours[[#This Row],[DATE]],ROW()-ROW(ListeCours[[#Headers],[UNIQUE]]),"")</f>
        <v>128</v>
      </c>
    </row>
    <row r="131" spans="1:17" ht="24" customHeight="1" x14ac:dyDescent="0.25">
      <c r="A131" s="61" t="s">
        <v>303</v>
      </c>
      <c r="B131" s="60" t="s">
        <v>249</v>
      </c>
      <c r="C131" s="59">
        <v>45246</v>
      </c>
      <c r="D131" s="60" t="s">
        <v>273</v>
      </c>
      <c r="E131" s="62">
        <v>0.70833333333333337</v>
      </c>
      <c r="F131" s="62">
        <v>0.83333333333333337</v>
      </c>
      <c r="G131" s="114">
        <f>IF(ListeCours[[#This Row],[DATE]],ListeCours[[#This Row],[HEURE DE FIN]]-ListeCours[[#This Row],[HEURE DE DÉBUT]],"")</f>
        <v>0.125</v>
      </c>
      <c r="H131" s="63" t="s">
        <v>92</v>
      </c>
      <c r="I131" s="63"/>
      <c r="J131" s="117" t="str">
        <f>IF(ListeCours[[#This Row],[DATE]],A131&amp;"_"&amp;COUNTIF($A$3:A131,A131),"")</f>
        <v>M12 - KPI et SAV_4</v>
      </c>
      <c r="K131" s="118" t="str">
        <f>IF(ListeCours[[#This Row],[DATE]],D131&amp;"_"&amp;COUNTIF($D$3:D131,D131),"")</f>
        <v>S. COURLY_25</v>
      </c>
      <c r="L131" s="109">
        <f>IF(ListeCours[[#This Row],[DATE]],MONTH(ListeCours[[#This Row],[DATE]]),"")</f>
        <v>11</v>
      </c>
      <c r="M131" s="107">
        <f>IF(ListeCours[[#This Row],[DATE]],COUNTIF($L$3:L131,L131),"")</f>
        <v>4</v>
      </c>
      <c r="N131" s="109">
        <f>IF(ListeCours[[#This Row],[DATE]],YEAR(ListeCours[[#This Row],[DATE]]),"")</f>
        <v>2023</v>
      </c>
      <c r="O131" s="109" t="str">
        <f>IF(ListeCours[[#This Row],[DATE]],CONCATENATE(ListeCours[[#This Row],[mois]],".",ListeCours[[#This Row],[freq.mois]],".",ListeCours[[#This Row],[année]]),"")</f>
        <v>11.4.2023</v>
      </c>
      <c r="P131" s="109" t="str">
        <f>IFERROR(VLOOKUP(ListeCours[[#This Row],[FORMATEUR]],tables!$G$20:$H$54,2,0),"")</f>
        <v>COURL</v>
      </c>
      <c r="Q131" s="110">
        <f>IF(ListeCours[[#This Row],[DATE]],ROW()-ROW(ListeCours[[#Headers],[UNIQUE]]),"")</f>
        <v>129</v>
      </c>
    </row>
    <row r="132" spans="1:17" ht="24" customHeight="1" x14ac:dyDescent="0.25">
      <c r="A132" s="61" t="s">
        <v>303</v>
      </c>
      <c r="B132" s="60" t="s">
        <v>249</v>
      </c>
      <c r="C132" s="59">
        <v>45247</v>
      </c>
      <c r="D132" s="60" t="s">
        <v>273</v>
      </c>
      <c r="E132" s="62">
        <v>0.70833333333333337</v>
      </c>
      <c r="F132" s="62">
        <v>0.83333333333333337</v>
      </c>
      <c r="G132" s="114">
        <f>IF(ListeCours[[#This Row],[DATE]],ListeCours[[#This Row],[HEURE DE FIN]]-ListeCours[[#This Row],[HEURE DE DÉBUT]],"")</f>
        <v>0.125</v>
      </c>
      <c r="H132" s="63" t="s">
        <v>92</v>
      </c>
      <c r="I132" s="63"/>
      <c r="J132" s="117" t="str">
        <f>IF(ListeCours[[#This Row],[DATE]],A132&amp;"_"&amp;COUNTIF($A$3:A132,A132),"")</f>
        <v>M12 - KPI et SAV_5</v>
      </c>
      <c r="K132" s="118" t="str">
        <f>IF(ListeCours[[#This Row],[DATE]],D132&amp;"_"&amp;COUNTIF($D$3:D132,D132),"")</f>
        <v>S. COURLY_26</v>
      </c>
      <c r="L132" s="109">
        <f>IF(ListeCours[[#This Row],[DATE]],MONTH(ListeCours[[#This Row],[DATE]]),"")</f>
        <v>11</v>
      </c>
      <c r="M132" s="107">
        <f>IF(ListeCours[[#This Row],[DATE]],COUNTIF($L$3:L132,L132),"")</f>
        <v>5</v>
      </c>
      <c r="N132" s="109">
        <f>IF(ListeCours[[#This Row],[DATE]],YEAR(ListeCours[[#This Row],[DATE]]),"")</f>
        <v>2023</v>
      </c>
      <c r="O132" s="109" t="str">
        <f>IF(ListeCours[[#This Row],[DATE]],CONCATENATE(ListeCours[[#This Row],[mois]],".",ListeCours[[#This Row],[freq.mois]],".",ListeCours[[#This Row],[année]]),"")</f>
        <v>11.5.2023</v>
      </c>
      <c r="P132" s="109" t="str">
        <f>IFERROR(VLOOKUP(ListeCours[[#This Row],[FORMATEUR]],tables!$G$20:$H$54,2,0),"")</f>
        <v>COURL</v>
      </c>
      <c r="Q132" s="110">
        <f>IF(ListeCours[[#This Row],[DATE]],ROW()-ROW(ListeCours[[#Headers],[UNIQUE]]),"")</f>
        <v>130</v>
      </c>
    </row>
    <row r="133" spans="1:17" ht="24" hidden="1" customHeight="1" x14ac:dyDescent="0.25">
      <c r="A133" s="61" t="s">
        <v>303</v>
      </c>
      <c r="B133" s="60" t="s">
        <v>250</v>
      </c>
      <c r="C133" s="59">
        <v>45248</v>
      </c>
      <c r="D133" s="60" t="s">
        <v>270</v>
      </c>
      <c r="E133" s="62">
        <v>0.33333333333333331</v>
      </c>
      <c r="F133" s="62">
        <v>0.5</v>
      </c>
      <c r="G133" s="114">
        <f>IF(ListeCours[[#This Row],[DATE]],ListeCours[[#This Row],[HEURE DE FIN]]-ListeCours[[#This Row],[HEURE DE DÉBUT]],"")</f>
        <v>0.16666666666666669</v>
      </c>
      <c r="H133" s="63" t="s">
        <v>92</v>
      </c>
      <c r="I133" s="63"/>
      <c r="J133" s="117" t="str">
        <f>IF(ListeCours[[#This Row],[DATE]],A133&amp;"_"&amp;COUNTIF($A$3:A133,A133),"")</f>
        <v>M12 - KPI et SAV_6</v>
      </c>
      <c r="K133" s="118" t="str">
        <f>IF(ListeCours[[#This Row],[DATE]],D133&amp;"_"&amp;COUNTIF($D$3:D133,D133),"")</f>
        <v>A. THIAW-PO-UNE_7</v>
      </c>
      <c r="L133" s="109">
        <f>IF(ListeCours[[#This Row],[DATE]],MONTH(ListeCours[[#This Row],[DATE]]),"")</f>
        <v>11</v>
      </c>
      <c r="M133" s="107">
        <f>IF(ListeCours[[#This Row],[DATE]],COUNTIF($L$3:L133,L133),"")</f>
        <v>6</v>
      </c>
      <c r="N133" s="109">
        <f>IF(ListeCours[[#This Row],[DATE]],YEAR(ListeCours[[#This Row],[DATE]]),"")</f>
        <v>2023</v>
      </c>
      <c r="O133" s="109" t="str">
        <f>IF(ListeCours[[#This Row],[DATE]],CONCATENATE(ListeCours[[#This Row],[mois]],".",ListeCours[[#This Row],[freq.mois]],".",ListeCours[[#This Row],[année]]),"")</f>
        <v>11.6.2023</v>
      </c>
      <c r="P133" s="109" t="str">
        <f>IFERROR(VLOOKUP(ListeCours[[#This Row],[FORMATEUR]],tables!$G$20:$H$54,2,0),"")</f>
        <v>THIAW</v>
      </c>
      <c r="Q133" s="110">
        <f>IF(ListeCours[[#This Row],[DATE]],ROW()-ROW(ListeCours[[#Headers],[UNIQUE]]),"")</f>
        <v>131</v>
      </c>
    </row>
    <row r="134" spans="1:17" ht="24" hidden="1" customHeight="1" x14ac:dyDescent="0.25">
      <c r="A134" s="61" t="s">
        <v>303</v>
      </c>
      <c r="B134" s="60" t="s">
        <v>250</v>
      </c>
      <c r="C134" s="59">
        <v>45253</v>
      </c>
      <c r="D134" s="60" t="s">
        <v>270</v>
      </c>
      <c r="E134" s="62">
        <v>0.70833333333333337</v>
      </c>
      <c r="F134" s="62">
        <v>0.83333333333333337</v>
      </c>
      <c r="G134" s="114">
        <f>IF(ListeCours[[#This Row],[DATE]],ListeCours[[#This Row],[HEURE DE FIN]]-ListeCours[[#This Row],[HEURE DE DÉBUT]],"")</f>
        <v>0.125</v>
      </c>
      <c r="H134" s="63" t="s">
        <v>92</v>
      </c>
      <c r="I134" s="63"/>
      <c r="J134" s="117" t="str">
        <f>IF(ListeCours[[#This Row],[DATE]],A134&amp;"_"&amp;COUNTIF($A$3:A134,A134),"")</f>
        <v>M12 - KPI et SAV_7</v>
      </c>
      <c r="K134" s="118" t="str">
        <f>IF(ListeCours[[#This Row],[DATE]],D134&amp;"_"&amp;COUNTIF($D$3:D134,D134),"")</f>
        <v>A. THIAW-PO-UNE_8</v>
      </c>
      <c r="L134" s="109">
        <f>IF(ListeCours[[#This Row],[DATE]],MONTH(ListeCours[[#This Row],[DATE]]),"")</f>
        <v>11</v>
      </c>
      <c r="M134" s="107">
        <f>IF(ListeCours[[#This Row],[DATE]],COUNTIF($L$3:L134,L134),"")</f>
        <v>7</v>
      </c>
      <c r="N134" s="109">
        <f>IF(ListeCours[[#This Row],[DATE]],YEAR(ListeCours[[#This Row],[DATE]]),"")</f>
        <v>2023</v>
      </c>
      <c r="O134" s="109" t="str">
        <f>IF(ListeCours[[#This Row],[DATE]],CONCATENATE(ListeCours[[#This Row],[mois]],".",ListeCours[[#This Row],[freq.mois]],".",ListeCours[[#This Row],[année]]),"")</f>
        <v>11.7.2023</v>
      </c>
      <c r="P134" s="109" t="str">
        <f>IFERROR(VLOOKUP(ListeCours[[#This Row],[FORMATEUR]],tables!$G$20:$H$54,2,0),"")</f>
        <v>THIAW</v>
      </c>
      <c r="Q134" s="110">
        <f>IF(ListeCours[[#This Row],[DATE]],ROW()-ROW(ListeCours[[#Headers],[UNIQUE]]),"")</f>
        <v>132</v>
      </c>
    </row>
    <row r="135" spans="1:17" ht="24" hidden="1" customHeight="1" x14ac:dyDescent="0.25">
      <c r="A135" s="61" t="s">
        <v>260</v>
      </c>
      <c r="B135" s="60" t="s">
        <v>366</v>
      </c>
      <c r="C135" s="59">
        <v>45254</v>
      </c>
      <c r="D135" s="60"/>
      <c r="E135" s="62">
        <v>0.66666666666666663</v>
      </c>
      <c r="F135" s="62">
        <v>0.72916666666666663</v>
      </c>
      <c r="G135" s="114">
        <f>IF(ListeCours[[#This Row],[DATE]],ListeCours[[#This Row],[HEURE DE FIN]]-ListeCours[[#This Row],[HEURE DE DÉBUT]],"")</f>
        <v>6.25E-2</v>
      </c>
      <c r="H135" s="63" t="s">
        <v>92</v>
      </c>
      <c r="I135" s="63" t="s">
        <v>370</v>
      </c>
      <c r="J135" s="117" t="str">
        <f>IF(ListeCours[[#This Row],[DATE]],A135&amp;"_"&amp;COUNTIF($A$3:A135,A135),"")</f>
        <v>Evaluation BC4_1</v>
      </c>
      <c r="K135" s="118" t="str">
        <f>IF(ListeCours[[#This Row],[DATE]],D135&amp;"_"&amp;COUNTIF($D$3:D135,D135),"")</f>
        <v>_0</v>
      </c>
      <c r="L135" s="109">
        <f>IF(ListeCours[[#This Row],[DATE]],MONTH(ListeCours[[#This Row],[DATE]]),"")</f>
        <v>11</v>
      </c>
      <c r="M135" s="107">
        <f>IF(ListeCours[[#This Row],[DATE]],COUNTIF($L$3:L135,L135),"")</f>
        <v>8</v>
      </c>
      <c r="N135" s="109">
        <f>IF(ListeCours[[#This Row],[DATE]],YEAR(ListeCours[[#This Row],[DATE]]),"")</f>
        <v>2023</v>
      </c>
      <c r="O135" s="109" t="str">
        <f>IF(ListeCours[[#This Row],[DATE]],CONCATENATE(ListeCours[[#This Row],[mois]],".",ListeCours[[#This Row],[freq.mois]],".",ListeCours[[#This Row],[année]]),"")</f>
        <v>11.8.2023</v>
      </c>
      <c r="P135" s="109" t="str">
        <f>IFERROR(VLOOKUP(ListeCours[[#This Row],[FORMATEUR]],tables!$G$20:$H$54,2,0),"")</f>
        <v/>
      </c>
      <c r="Q135" s="110">
        <f>IF(ListeCours[[#This Row],[DATE]],ROW()-ROW(ListeCours[[#Headers],[UNIQUE]]),"")</f>
        <v>133</v>
      </c>
    </row>
    <row r="136" spans="1:17" ht="24" hidden="1" customHeight="1" x14ac:dyDescent="0.25">
      <c r="A136" s="61" t="s">
        <v>304</v>
      </c>
      <c r="B136" s="60" t="s">
        <v>65</v>
      </c>
      <c r="C136" s="59">
        <v>45255</v>
      </c>
      <c r="D136" s="60" t="s">
        <v>323</v>
      </c>
      <c r="E136" s="57">
        <v>0.33333333333333331</v>
      </c>
      <c r="F136" s="62">
        <v>0.5</v>
      </c>
      <c r="G136" s="114">
        <f>IF(ListeCours[[#This Row],[DATE]],ListeCours[[#This Row],[HEURE DE FIN]]-ListeCours[[#This Row],[HEURE DE DÉBUT]],"")</f>
        <v>0.16666666666666669</v>
      </c>
      <c r="H136" s="63" t="s">
        <v>92</v>
      </c>
      <c r="I136" s="63"/>
      <c r="J136" s="117" t="str">
        <f>IF(ListeCours[[#This Row],[DATE]],A136&amp;"_"&amp;COUNTIF($A$3:A136,A136),"")</f>
        <v>M13 - Accompagnement mémoire_8</v>
      </c>
      <c r="K136" s="118" t="str">
        <f>IF(ListeCours[[#This Row],[DATE]],D136&amp;"_"&amp;COUNTIF($D$3:D136,D136),"")</f>
        <v>S. LEBOURVELEC / A. NAYLS_2</v>
      </c>
      <c r="L136" s="109">
        <f>IF(ListeCours[[#This Row],[DATE]],MONTH(ListeCours[[#This Row],[DATE]]),"")</f>
        <v>11</v>
      </c>
      <c r="M136" s="107">
        <f>IF(ListeCours[[#This Row],[DATE]],COUNTIF($L$3:L136,L136),"")</f>
        <v>9</v>
      </c>
      <c r="N136" s="109">
        <f>IF(ListeCours[[#This Row],[DATE]],YEAR(ListeCours[[#This Row],[DATE]]),"")</f>
        <v>2023</v>
      </c>
      <c r="O136" s="109" t="str">
        <f>IF(ListeCours[[#This Row],[DATE]],CONCATENATE(ListeCours[[#This Row],[mois]],".",ListeCours[[#This Row],[freq.mois]],".",ListeCours[[#This Row],[année]]),"")</f>
        <v>11.9.2023</v>
      </c>
      <c r="P136" s="109" t="str">
        <f>IFERROR(VLOOKUP(ListeCours[[#This Row],[FORMATEUR]],tables!$G$20:$H$54,2,0),"")</f>
        <v>LEB/NA</v>
      </c>
      <c r="Q136" s="110">
        <f>IF(ListeCours[[#This Row],[DATE]],ROW()-ROW(ListeCours[[#Headers],[UNIQUE]]),"")</f>
        <v>134</v>
      </c>
    </row>
    <row r="137" spans="1:17" ht="24" hidden="1" customHeight="1" x14ac:dyDescent="0.25">
      <c r="A137" s="61" t="s">
        <v>266</v>
      </c>
      <c r="B137" s="60" t="s">
        <v>268</v>
      </c>
      <c r="C137" s="59">
        <v>45264</v>
      </c>
      <c r="D137" s="60"/>
      <c r="E137" s="62"/>
      <c r="F137" s="62"/>
      <c r="G137" s="114">
        <f>IF(ListeCours[[#This Row],[DATE]],ListeCours[[#This Row],[HEURE DE FIN]]-ListeCours[[#This Row],[HEURE DE DÉBUT]],"")</f>
        <v>0</v>
      </c>
      <c r="H137" s="63" t="s">
        <v>92</v>
      </c>
      <c r="I137" s="63" t="s">
        <v>267</v>
      </c>
      <c r="J137" s="117" t="str">
        <f>IF(ListeCours[[#This Row],[DATE]],A137&amp;"_"&amp;COUNTIF($A$3:A137,A137),"")</f>
        <v>Evaluations de 2nde session_1</v>
      </c>
      <c r="K137" s="118" t="str">
        <f>IF(ListeCours[[#This Row],[DATE]],D137&amp;"_"&amp;COUNTIF($D$3:D137,D137),"")</f>
        <v>_0</v>
      </c>
      <c r="L137" s="109">
        <f>IF(ListeCours[[#This Row],[DATE]],MONTH(ListeCours[[#This Row],[DATE]]),"")</f>
        <v>12</v>
      </c>
      <c r="M137" s="107">
        <f>IF(ListeCours[[#This Row],[DATE]],COUNTIF($L$3:L137,L137),"")</f>
        <v>1</v>
      </c>
      <c r="N137" s="109">
        <f>IF(ListeCours[[#This Row],[DATE]],YEAR(ListeCours[[#This Row],[DATE]]),"")</f>
        <v>2023</v>
      </c>
      <c r="O137" s="109" t="str">
        <f>IF(ListeCours[[#This Row],[DATE]],CONCATENATE(ListeCours[[#This Row],[mois]],".",ListeCours[[#This Row],[freq.mois]],".",ListeCours[[#This Row],[année]]),"")</f>
        <v>12.1.2023</v>
      </c>
      <c r="P137" s="109" t="str">
        <f>IFERROR(VLOOKUP(ListeCours[[#This Row],[FORMATEUR]],tables!$G$20:$H$54,2,0),"")</f>
        <v/>
      </c>
      <c r="Q137" s="110">
        <f>IF(ListeCours[[#This Row],[DATE]],ROW()-ROW(ListeCours[[#Headers],[UNIQUE]]),"")</f>
        <v>135</v>
      </c>
    </row>
    <row r="138" spans="1:17" ht="24" hidden="1" customHeight="1" x14ac:dyDescent="0.25">
      <c r="A138" s="61" t="s">
        <v>266</v>
      </c>
      <c r="B138" s="60" t="s">
        <v>268</v>
      </c>
      <c r="C138" s="59">
        <v>45265</v>
      </c>
      <c r="D138" s="60"/>
      <c r="E138" s="62"/>
      <c r="F138" s="62"/>
      <c r="G138" s="114">
        <f>IF(ListeCours[[#This Row],[DATE]],ListeCours[[#This Row],[HEURE DE FIN]]-ListeCours[[#This Row],[HEURE DE DÉBUT]],"")</f>
        <v>0</v>
      </c>
      <c r="H138" s="63" t="s">
        <v>92</v>
      </c>
      <c r="I138" s="63" t="s">
        <v>267</v>
      </c>
      <c r="J138" s="117" t="str">
        <f>IF(ListeCours[[#This Row],[DATE]],A138&amp;"_"&amp;COUNTIF($A$3:A138,A138),"")</f>
        <v>Evaluations de 2nde session_2</v>
      </c>
      <c r="K138" s="118" t="str">
        <f>IF(ListeCours[[#This Row],[DATE]],D138&amp;"_"&amp;COUNTIF($D$3:D138,D138),"")</f>
        <v>_0</v>
      </c>
      <c r="L138" s="109">
        <f>IF(ListeCours[[#This Row],[DATE]],MONTH(ListeCours[[#This Row],[DATE]]),"")</f>
        <v>12</v>
      </c>
      <c r="M138" s="107">
        <f>IF(ListeCours[[#This Row],[DATE]],COUNTIF($L$3:L138,L138),"")</f>
        <v>2</v>
      </c>
      <c r="N138" s="109">
        <f>IF(ListeCours[[#This Row],[DATE]],YEAR(ListeCours[[#This Row],[DATE]]),"")</f>
        <v>2023</v>
      </c>
      <c r="O138" s="109" t="str">
        <f>IF(ListeCours[[#This Row],[DATE]],CONCATENATE(ListeCours[[#This Row],[mois]],".",ListeCours[[#This Row],[freq.mois]],".",ListeCours[[#This Row],[année]]),"")</f>
        <v>12.2.2023</v>
      </c>
      <c r="P138" s="109" t="str">
        <f>IFERROR(VLOOKUP(ListeCours[[#This Row],[FORMATEUR]],tables!$G$20:$H$54,2,0),"")</f>
        <v/>
      </c>
      <c r="Q138" s="110">
        <f>IF(ListeCours[[#This Row],[DATE]],ROW()-ROW(ListeCours[[#Headers],[UNIQUE]]),"")</f>
        <v>136</v>
      </c>
    </row>
    <row r="139" spans="1:17" ht="24" hidden="1" customHeight="1" x14ac:dyDescent="0.25">
      <c r="A139" s="61" t="s">
        <v>83</v>
      </c>
      <c r="B139" s="60" t="s">
        <v>184</v>
      </c>
      <c r="C139" s="59">
        <v>45274</v>
      </c>
      <c r="D139" s="60"/>
      <c r="E139" s="62">
        <v>0.33333333333333331</v>
      </c>
      <c r="F139" s="62">
        <v>0.35416666666666669</v>
      </c>
      <c r="G139" s="114">
        <f>IF(ListeCours[[#This Row],[DATE]],ListeCours[[#This Row],[HEURE DE FIN]]-ListeCours[[#This Row],[HEURE DE DÉBUT]],"")</f>
        <v>2.083333333333337E-2</v>
      </c>
      <c r="H139" s="63" t="s">
        <v>92</v>
      </c>
      <c r="I139" s="63" t="s">
        <v>265</v>
      </c>
      <c r="J139" s="117" t="str">
        <f>IF(ListeCours[[#This Row],[DATE]],A139&amp;"_"&amp;COUNTIF($A$3:A139,A139),"")</f>
        <v>Bilan_1</v>
      </c>
      <c r="K139" s="118" t="str">
        <f>IF(ListeCours[[#This Row],[DATE]],D139&amp;"_"&amp;COUNTIF($D$3:D139,D139),"")</f>
        <v>_0</v>
      </c>
      <c r="L139" s="109">
        <f>IF(ListeCours[[#This Row],[DATE]],MONTH(ListeCours[[#This Row],[DATE]]),"")</f>
        <v>12</v>
      </c>
      <c r="M139" s="107">
        <f>IF(ListeCours[[#This Row],[DATE]],COUNTIF($L$3:L139,L139),"")</f>
        <v>3</v>
      </c>
      <c r="N139" s="109">
        <f>IF(ListeCours[[#This Row],[DATE]],YEAR(ListeCours[[#This Row],[DATE]]),"")</f>
        <v>2023</v>
      </c>
      <c r="O139" s="109" t="str">
        <f>IF(ListeCours[[#This Row],[DATE]],CONCATENATE(ListeCours[[#This Row],[mois]],".",ListeCours[[#This Row],[freq.mois]],".",ListeCours[[#This Row],[année]]),"")</f>
        <v>12.3.2023</v>
      </c>
      <c r="P139" s="109" t="str">
        <f>IFERROR(VLOOKUP(ListeCours[[#This Row],[FORMATEUR]],tables!$G$20:$H$54,2,0),"")</f>
        <v/>
      </c>
      <c r="Q139" s="110">
        <f>IF(ListeCours[[#This Row],[DATE]],ROW()-ROW(ListeCours[[#Headers],[UNIQUE]]),"")</f>
        <v>137</v>
      </c>
    </row>
    <row r="140" spans="1:17" ht="24" hidden="1" customHeight="1" x14ac:dyDescent="0.25">
      <c r="A140" s="61" t="s">
        <v>263</v>
      </c>
      <c r="B140" s="60" t="s">
        <v>264</v>
      </c>
      <c r="C140" s="59">
        <v>45274</v>
      </c>
      <c r="D140" s="60"/>
      <c r="E140" s="62">
        <v>0.33333333333333331</v>
      </c>
      <c r="F140" s="62">
        <v>0.375</v>
      </c>
      <c r="G140" s="114">
        <f>IF(ListeCours[[#This Row],[DATE]],ListeCours[[#This Row],[HEURE DE FIN]]-ListeCours[[#This Row],[HEURE DE DÉBUT]],"")</f>
        <v>4.1666666666666685E-2</v>
      </c>
      <c r="H140" s="63" t="s">
        <v>92</v>
      </c>
      <c r="I140" s="63" t="s">
        <v>325</v>
      </c>
      <c r="J140" s="117" t="str">
        <f>IF(ListeCours[[#This Row],[DATE]],A140&amp;"_"&amp;COUNTIF($A$3:A140,A140),"")</f>
        <v>Soutenances de mémoire_1</v>
      </c>
      <c r="K140" s="118" t="str">
        <f>IF(ListeCours[[#This Row],[DATE]],D140&amp;"_"&amp;COUNTIF($D$3:D140,D140),"")</f>
        <v>_0</v>
      </c>
      <c r="L140" s="109">
        <f>IF(ListeCours[[#This Row],[DATE]],MONTH(ListeCours[[#This Row],[DATE]]),"")</f>
        <v>12</v>
      </c>
      <c r="M140" s="107">
        <f>IF(ListeCours[[#This Row],[DATE]],COUNTIF($L$3:L140,L140),"")</f>
        <v>4</v>
      </c>
      <c r="N140" s="109">
        <f>IF(ListeCours[[#This Row],[DATE]],YEAR(ListeCours[[#This Row],[DATE]]),"")</f>
        <v>2023</v>
      </c>
      <c r="O140" s="109" t="str">
        <f>IF(ListeCours[[#This Row],[DATE]],CONCATENATE(ListeCours[[#This Row],[mois]],".",ListeCours[[#This Row],[freq.mois]],".",ListeCours[[#This Row],[année]]),"")</f>
        <v>12.4.2023</v>
      </c>
      <c r="P140" s="109" t="str">
        <f>IFERROR(VLOOKUP(ListeCours[[#This Row],[FORMATEUR]],tables!$G$20:$H$54,2,0),"")</f>
        <v/>
      </c>
      <c r="Q140" s="110">
        <f>IF(ListeCours[[#This Row],[DATE]],ROW()-ROW(ListeCours[[#Headers],[UNIQUE]]),"")</f>
        <v>138</v>
      </c>
    </row>
    <row r="141" spans="1:17" ht="24" hidden="1" customHeight="1" x14ac:dyDescent="0.25">
      <c r="A141" s="61" t="s">
        <v>263</v>
      </c>
      <c r="B141" s="60" t="s">
        <v>264</v>
      </c>
      <c r="C141" s="59">
        <v>45275</v>
      </c>
      <c r="D141" s="60"/>
      <c r="E141" s="62"/>
      <c r="F141" s="62"/>
      <c r="G141" s="114">
        <f>IF(ListeCours[[#This Row],[DATE]],ListeCours[[#This Row],[HEURE DE FIN]]-ListeCours[[#This Row],[HEURE DE DÉBUT]],"")</f>
        <v>0</v>
      </c>
      <c r="H141" s="63" t="s">
        <v>92</v>
      </c>
      <c r="I141" s="63" t="s">
        <v>325</v>
      </c>
      <c r="J141" s="117" t="str">
        <f>IF(ListeCours[[#This Row],[DATE]],A141&amp;"_"&amp;COUNTIF($A$3:A141,A141),"")</f>
        <v>Soutenances de mémoire_2</v>
      </c>
      <c r="K141" s="118" t="str">
        <f>IF(ListeCours[[#This Row],[DATE]],D141&amp;"_"&amp;COUNTIF($D$3:D141,D141),"")</f>
        <v>_0</v>
      </c>
      <c r="L141" s="109">
        <f>IF(ListeCours[[#This Row],[DATE]],MONTH(ListeCours[[#This Row],[DATE]]),"")</f>
        <v>12</v>
      </c>
      <c r="M141" s="107">
        <f>IF(ListeCours[[#This Row],[DATE]],COUNTIF($L$3:L141,L141),"")</f>
        <v>5</v>
      </c>
      <c r="N141" s="109">
        <f>IF(ListeCours[[#This Row],[DATE]],YEAR(ListeCours[[#This Row],[DATE]]),"")</f>
        <v>2023</v>
      </c>
      <c r="O141" s="109" t="str">
        <f>IF(ListeCours[[#This Row],[DATE]],CONCATENATE(ListeCours[[#This Row],[mois]],".",ListeCours[[#This Row],[freq.mois]],".",ListeCours[[#This Row],[année]]),"")</f>
        <v>12.5.2023</v>
      </c>
      <c r="P141" s="109" t="str">
        <f>IFERROR(VLOOKUP(ListeCours[[#This Row],[FORMATEUR]],tables!$G$20:$H$54,2,0),"")</f>
        <v/>
      </c>
      <c r="Q141" s="110">
        <f>IF(ListeCours[[#This Row],[DATE]],ROW()-ROW(ListeCours[[#Headers],[UNIQUE]]),"")</f>
        <v>139</v>
      </c>
    </row>
    <row r="142" spans="1:17" ht="24" hidden="1" customHeight="1" x14ac:dyDescent="0.25">
      <c r="A142" s="61"/>
      <c r="B142" s="60"/>
      <c r="C142" s="59"/>
      <c r="D142" s="60"/>
      <c r="E142" s="62"/>
      <c r="F142" s="62"/>
      <c r="G142" s="114" t="str">
        <f>IF(ListeCours[[#This Row],[DATE]],ListeCours[[#This Row],[HEURE DE FIN]]-ListeCours[[#This Row],[HEURE DE DÉBUT]],"")</f>
        <v/>
      </c>
      <c r="H142" s="63"/>
      <c r="I142" s="63"/>
      <c r="J142" s="117" t="str">
        <f>IF(ListeCours[[#This Row],[DATE]],A142&amp;"_"&amp;COUNTIF($A$3:A142,A142),"")</f>
        <v/>
      </c>
      <c r="K142" s="118" t="str">
        <f>IF(ListeCours[[#This Row],[DATE]],D142&amp;"_"&amp;COUNTIF($D$3:D142,D142),"")</f>
        <v/>
      </c>
      <c r="L142" s="109" t="str">
        <f>IF(ListeCours[[#This Row],[DATE]],MONTH(ListeCours[[#This Row],[DATE]]),"")</f>
        <v/>
      </c>
      <c r="M142" s="107" t="str">
        <f>IF(ListeCours[[#This Row],[DATE]],COUNTIF($L$3:L142,L142),"")</f>
        <v/>
      </c>
      <c r="N142" s="109" t="str">
        <f>IF(ListeCours[[#This Row],[DATE]],YEAR(ListeCours[[#This Row],[DATE]]),"")</f>
        <v/>
      </c>
      <c r="O142" s="109" t="str">
        <f>IF(ListeCours[[#This Row],[DATE]],CONCATENATE(ListeCours[[#This Row],[mois]],".",ListeCours[[#This Row],[freq.mois]],".",ListeCours[[#This Row],[année]]),"")</f>
        <v/>
      </c>
      <c r="P142" s="109" t="str">
        <f>IFERROR(VLOOKUP(ListeCours[[#This Row],[FORMATEUR]],tables!$G$20:$H$54,2,0),"")</f>
        <v/>
      </c>
      <c r="Q142" s="110" t="str">
        <f>IF(ListeCours[[#This Row],[DATE]],ROW()-ROW(ListeCours[[#Headers],[UNIQUE]]),"")</f>
        <v/>
      </c>
    </row>
    <row r="143" spans="1:17" ht="24" hidden="1" customHeight="1" x14ac:dyDescent="0.25">
      <c r="A143" s="61"/>
      <c r="B143" s="60"/>
      <c r="C143" s="59"/>
      <c r="D143" s="60"/>
      <c r="E143" s="62"/>
      <c r="F143" s="62"/>
      <c r="G143" s="114" t="str">
        <f>IF(ListeCours[[#This Row],[DATE]],ListeCours[[#This Row],[HEURE DE FIN]]-ListeCours[[#This Row],[HEURE DE DÉBUT]],"")</f>
        <v/>
      </c>
      <c r="H143" s="63"/>
      <c r="I143" s="63"/>
      <c r="J143" s="117" t="str">
        <f>IF(ListeCours[[#This Row],[DATE]],A143&amp;"_"&amp;COUNTIF($A$3:A143,A143),"")</f>
        <v/>
      </c>
      <c r="K143" s="118" t="str">
        <f>IF(ListeCours[[#This Row],[DATE]],D143&amp;"_"&amp;COUNTIF($D$3:D143,D143),"")</f>
        <v/>
      </c>
      <c r="L143" s="109" t="str">
        <f>IF(ListeCours[[#This Row],[DATE]],MONTH(ListeCours[[#This Row],[DATE]]),"")</f>
        <v/>
      </c>
      <c r="M143" s="107" t="str">
        <f>IF(ListeCours[[#This Row],[DATE]],COUNTIF($L$3:L143,L143),"")</f>
        <v/>
      </c>
      <c r="N143" s="109" t="str">
        <f>IF(ListeCours[[#This Row],[DATE]],YEAR(ListeCours[[#This Row],[DATE]]),"")</f>
        <v/>
      </c>
      <c r="O143" s="109" t="str">
        <f>IF(ListeCours[[#This Row],[DATE]],CONCATENATE(ListeCours[[#This Row],[mois]],".",ListeCours[[#This Row],[freq.mois]],".",ListeCours[[#This Row],[année]]),"")</f>
        <v/>
      </c>
      <c r="P143" s="109" t="str">
        <f>IFERROR(VLOOKUP(ListeCours[[#This Row],[FORMATEUR]],tables!$G$20:$H$54,2,0),"")</f>
        <v/>
      </c>
      <c r="Q143" s="110" t="str">
        <f>IF(ListeCours[[#This Row],[DATE]],ROW()-ROW(ListeCours[[#Headers],[UNIQUE]]),"")</f>
        <v/>
      </c>
    </row>
    <row r="144" spans="1:17" ht="24" hidden="1" customHeight="1" x14ac:dyDescent="0.25">
      <c r="A144" s="61"/>
      <c r="B144" s="60"/>
      <c r="C144" s="59"/>
      <c r="D144" s="60"/>
      <c r="E144" s="62"/>
      <c r="F144" s="62"/>
      <c r="G144" s="114" t="str">
        <f>IF(ListeCours[[#This Row],[DATE]],ListeCours[[#This Row],[HEURE DE FIN]]-ListeCours[[#This Row],[HEURE DE DÉBUT]],"")</f>
        <v/>
      </c>
      <c r="H144" s="63"/>
      <c r="I144" s="63"/>
      <c r="J144" s="117" t="str">
        <f>IF(ListeCours[[#This Row],[DATE]],A144&amp;"_"&amp;COUNTIF($A$3:A144,A144),"")</f>
        <v/>
      </c>
      <c r="K144" s="118" t="str">
        <f>IF(ListeCours[[#This Row],[DATE]],D144&amp;"_"&amp;COUNTIF($D$3:D144,D144),"")</f>
        <v/>
      </c>
      <c r="L144" s="109" t="str">
        <f>IF(ListeCours[[#This Row],[DATE]],MONTH(ListeCours[[#This Row],[DATE]]),"")</f>
        <v/>
      </c>
      <c r="M144" s="107" t="str">
        <f>IF(ListeCours[[#This Row],[DATE]],COUNTIF($L$3:L144,L144),"")</f>
        <v/>
      </c>
      <c r="N144" s="109" t="str">
        <f>IF(ListeCours[[#This Row],[DATE]],YEAR(ListeCours[[#This Row],[DATE]]),"")</f>
        <v/>
      </c>
      <c r="O144" s="109" t="str">
        <f>IF(ListeCours[[#This Row],[DATE]],CONCATENATE(ListeCours[[#This Row],[mois]],".",ListeCours[[#This Row],[freq.mois]],".",ListeCours[[#This Row],[année]]),"")</f>
        <v/>
      </c>
      <c r="P144" s="109" t="str">
        <f>IFERROR(VLOOKUP(ListeCours[[#This Row],[FORMATEUR]],tables!$G$20:$H$54,2,0),"")</f>
        <v/>
      </c>
      <c r="Q144" s="110" t="str">
        <f>IF(ListeCours[[#This Row],[DATE]],ROW()-ROW(ListeCours[[#Headers],[UNIQUE]]),"")</f>
        <v/>
      </c>
    </row>
    <row r="145" spans="1:17" ht="24" hidden="1" customHeight="1" x14ac:dyDescent="0.25">
      <c r="A145" s="61"/>
      <c r="B145" s="60"/>
      <c r="C145" s="59"/>
      <c r="D145" s="60"/>
      <c r="E145" s="62"/>
      <c r="F145" s="62"/>
      <c r="G145" s="114" t="str">
        <f>IF(ListeCours[[#This Row],[DATE]],ListeCours[[#This Row],[HEURE DE FIN]]-ListeCours[[#This Row],[HEURE DE DÉBUT]],"")</f>
        <v/>
      </c>
      <c r="H145" s="63"/>
      <c r="I145" s="63"/>
      <c r="J145" s="117" t="str">
        <f>IF(ListeCours[[#This Row],[DATE]],A145&amp;"_"&amp;COUNTIF($A$3:A145,A145),"")</f>
        <v/>
      </c>
      <c r="K145" s="118" t="str">
        <f>IF(ListeCours[[#This Row],[DATE]],D145&amp;"_"&amp;COUNTIF($D$3:D145,D145),"")</f>
        <v/>
      </c>
      <c r="L145" s="109" t="str">
        <f>IF(ListeCours[[#This Row],[DATE]],MONTH(ListeCours[[#This Row],[DATE]]),"")</f>
        <v/>
      </c>
      <c r="M145" s="107" t="str">
        <f>IF(ListeCours[[#This Row],[DATE]],COUNTIF($L$3:L145,L145),"")</f>
        <v/>
      </c>
      <c r="N145" s="109" t="str">
        <f>IF(ListeCours[[#This Row],[DATE]],YEAR(ListeCours[[#This Row],[DATE]]),"")</f>
        <v/>
      </c>
      <c r="O145" s="109" t="str">
        <f>IF(ListeCours[[#This Row],[DATE]],CONCATENATE(ListeCours[[#This Row],[mois]],".",ListeCours[[#This Row],[freq.mois]],".",ListeCours[[#This Row],[année]]),"")</f>
        <v/>
      </c>
      <c r="P145" s="109" t="str">
        <f>IFERROR(VLOOKUP(ListeCours[[#This Row],[FORMATEUR]],tables!$G$20:$H$54,2,0),"")</f>
        <v/>
      </c>
      <c r="Q145" s="110" t="str">
        <f>IF(ListeCours[[#This Row],[DATE]],ROW()-ROW(ListeCours[[#Headers],[UNIQUE]]),"")</f>
        <v/>
      </c>
    </row>
    <row r="146" spans="1:17" ht="24" hidden="1" customHeight="1" x14ac:dyDescent="0.25">
      <c r="A146" s="61"/>
      <c r="B146" s="60"/>
      <c r="C146" s="59"/>
      <c r="D146" s="60"/>
      <c r="E146" s="62"/>
      <c r="F146" s="62"/>
      <c r="G146" s="114" t="str">
        <f>IF(ListeCours[[#This Row],[DATE]],ListeCours[[#This Row],[HEURE DE FIN]]-ListeCours[[#This Row],[HEURE DE DÉBUT]],"")</f>
        <v/>
      </c>
      <c r="H146" s="63"/>
      <c r="I146" s="63"/>
      <c r="J146" s="117" t="str">
        <f>IF(ListeCours[[#This Row],[DATE]],A146&amp;"_"&amp;COUNTIF($A$3:A146,A146),"")</f>
        <v/>
      </c>
      <c r="K146" s="118" t="str">
        <f>IF(ListeCours[[#This Row],[DATE]],D146&amp;"_"&amp;COUNTIF($D$3:D146,D146),"")</f>
        <v/>
      </c>
      <c r="L146" s="109" t="str">
        <f>IF(ListeCours[[#This Row],[DATE]],MONTH(ListeCours[[#This Row],[DATE]]),"")</f>
        <v/>
      </c>
      <c r="M146" s="107" t="str">
        <f>IF(ListeCours[[#This Row],[DATE]],COUNTIF($L$3:L146,L146),"")</f>
        <v/>
      </c>
      <c r="N146" s="109" t="str">
        <f>IF(ListeCours[[#This Row],[DATE]],YEAR(ListeCours[[#This Row],[DATE]]),"")</f>
        <v/>
      </c>
      <c r="O146" s="109" t="str">
        <f>IF(ListeCours[[#This Row],[DATE]],CONCATENATE(ListeCours[[#This Row],[mois]],".",ListeCours[[#This Row],[freq.mois]],".",ListeCours[[#This Row],[année]]),"")</f>
        <v/>
      </c>
      <c r="P146" s="109" t="str">
        <f>IFERROR(VLOOKUP(ListeCours[[#This Row],[FORMATEUR]],tables!$G$20:$H$54,2,0),"")</f>
        <v/>
      </c>
      <c r="Q146" s="110" t="str">
        <f>IF(ListeCours[[#This Row],[DATE]],ROW()-ROW(ListeCours[[#Headers],[UNIQUE]]),"")</f>
        <v/>
      </c>
    </row>
    <row r="147" spans="1:17" ht="24" hidden="1" customHeight="1" x14ac:dyDescent="0.25">
      <c r="A147" s="61"/>
      <c r="B147" s="60"/>
      <c r="C147" s="59"/>
      <c r="D147" s="60"/>
      <c r="E147" s="62"/>
      <c r="F147" s="62"/>
      <c r="G147" s="114" t="str">
        <f>IF(ListeCours[[#This Row],[DATE]],ListeCours[[#This Row],[HEURE DE FIN]]-ListeCours[[#This Row],[HEURE DE DÉBUT]],"")</f>
        <v/>
      </c>
      <c r="H147" s="63"/>
      <c r="I147" s="63"/>
      <c r="J147" s="117" t="str">
        <f>IF(ListeCours[[#This Row],[DATE]],A147&amp;"_"&amp;COUNTIF($A$3:A147,A147),"")</f>
        <v/>
      </c>
      <c r="K147" s="118" t="str">
        <f>IF(ListeCours[[#This Row],[DATE]],D147&amp;"_"&amp;COUNTIF($D$3:D147,D147),"")</f>
        <v/>
      </c>
      <c r="L147" s="109" t="str">
        <f>IF(ListeCours[[#This Row],[DATE]],MONTH(ListeCours[[#This Row],[DATE]]),"")</f>
        <v/>
      </c>
      <c r="M147" s="107" t="str">
        <f>IF(ListeCours[[#This Row],[DATE]],COUNTIF($L$3:L147,L147),"")</f>
        <v/>
      </c>
      <c r="N147" s="109" t="str">
        <f>IF(ListeCours[[#This Row],[DATE]],YEAR(ListeCours[[#This Row],[DATE]]),"")</f>
        <v/>
      </c>
      <c r="O147" s="109" t="str">
        <f>IF(ListeCours[[#This Row],[DATE]],CONCATENATE(ListeCours[[#This Row],[mois]],".",ListeCours[[#This Row],[freq.mois]],".",ListeCours[[#This Row],[année]]),"")</f>
        <v/>
      </c>
      <c r="P147" s="109" t="str">
        <f>IFERROR(VLOOKUP(ListeCours[[#This Row],[FORMATEUR]],tables!$G$20:$H$54,2,0),"")</f>
        <v/>
      </c>
      <c r="Q147" s="110" t="str">
        <f>IF(ListeCours[[#This Row],[DATE]],ROW()-ROW(ListeCours[[#Headers],[UNIQUE]]),"")</f>
        <v/>
      </c>
    </row>
    <row r="148" spans="1:17" ht="24" hidden="1" customHeight="1" x14ac:dyDescent="0.25">
      <c r="A148" s="61"/>
      <c r="B148" s="60"/>
      <c r="C148" s="59"/>
      <c r="D148" s="60"/>
      <c r="E148" s="62"/>
      <c r="F148" s="62"/>
      <c r="G148" s="114" t="str">
        <f>IF(ListeCours[[#This Row],[DATE]],ListeCours[[#This Row],[HEURE DE FIN]]-ListeCours[[#This Row],[HEURE DE DÉBUT]],"")</f>
        <v/>
      </c>
      <c r="H148" s="63"/>
      <c r="I148" s="63"/>
      <c r="J148" s="117" t="str">
        <f>IF(ListeCours[[#This Row],[DATE]],A148&amp;"_"&amp;COUNTIF($A$3:A148,A148),"")</f>
        <v/>
      </c>
      <c r="K148" s="118" t="str">
        <f>IF(ListeCours[[#This Row],[DATE]],D148&amp;"_"&amp;COUNTIF($D$3:D148,D148),"")</f>
        <v/>
      </c>
      <c r="L148" s="109" t="str">
        <f>IF(ListeCours[[#This Row],[DATE]],MONTH(ListeCours[[#This Row],[DATE]]),"")</f>
        <v/>
      </c>
      <c r="M148" s="107" t="str">
        <f>IF(ListeCours[[#This Row],[DATE]],COUNTIF($L$3:L148,L148),"")</f>
        <v/>
      </c>
      <c r="N148" s="109" t="str">
        <f>IF(ListeCours[[#This Row],[DATE]],YEAR(ListeCours[[#This Row],[DATE]]),"")</f>
        <v/>
      </c>
      <c r="O148" s="109" t="str">
        <f>IF(ListeCours[[#This Row],[DATE]],CONCATENATE(ListeCours[[#This Row],[mois]],".",ListeCours[[#This Row],[freq.mois]],".",ListeCours[[#This Row],[année]]),"")</f>
        <v/>
      </c>
      <c r="P148" s="109" t="str">
        <f>IFERROR(VLOOKUP(ListeCours[[#This Row],[FORMATEUR]],tables!$G$20:$H$54,2,0),"")</f>
        <v/>
      </c>
      <c r="Q148" s="110" t="str">
        <f>IF(ListeCours[[#This Row],[DATE]],ROW()-ROW(ListeCours[[#Headers],[UNIQUE]]),"")</f>
        <v/>
      </c>
    </row>
    <row r="149" spans="1:17" ht="24" hidden="1" customHeight="1" x14ac:dyDescent="0.25">
      <c r="A149" s="61"/>
      <c r="B149" s="60"/>
      <c r="C149" s="59"/>
      <c r="D149" s="60"/>
      <c r="E149" s="62"/>
      <c r="F149" s="62"/>
      <c r="G149" s="114" t="str">
        <f>IF(ListeCours[[#This Row],[DATE]],ListeCours[[#This Row],[HEURE DE FIN]]-ListeCours[[#This Row],[HEURE DE DÉBUT]],"")</f>
        <v/>
      </c>
      <c r="H149" s="63"/>
      <c r="I149" s="63"/>
      <c r="J149" s="117" t="str">
        <f>IF(ListeCours[[#This Row],[DATE]],A149&amp;"_"&amp;COUNTIF($A$3:A149,A149),"")</f>
        <v/>
      </c>
      <c r="K149" s="118" t="str">
        <f>IF(ListeCours[[#This Row],[DATE]],D149&amp;"_"&amp;COUNTIF($D$3:D149,D149),"")</f>
        <v/>
      </c>
      <c r="L149" s="109" t="str">
        <f>IF(ListeCours[[#This Row],[DATE]],MONTH(ListeCours[[#This Row],[DATE]]),"")</f>
        <v/>
      </c>
      <c r="M149" s="107" t="str">
        <f>IF(ListeCours[[#This Row],[DATE]],COUNTIF($L$3:L149,L149),"")</f>
        <v/>
      </c>
      <c r="N149" s="109" t="str">
        <f>IF(ListeCours[[#This Row],[DATE]],YEAR(ListeCours[[#This Row],[DATE]]),"")</f>
        <v/>
      </c>
      <c r="O149" s="109" t="str">
        <f>IF(ListeCours[[#This Row],[DATE]],CONCATENATE(ListeCours[[#This Row],[mois]],".",ListeCours[[#This Row],[freq.mois]],".",ListeCours[[#This Row],[année]]),"")</f>
        <v/>
      </c>
      <c r="P149" s="109" t="str">
        <f>IFERROR(VLOOKUP(ListeCours[[#This Row],[FORMATEUR]],tables!$G$20:$H$54,2,0),"")</f>
        <v/>
      </c>
      <c r="Q149" s="110" t="str">
        <f>IF(ListeCours[[#This Row],[DATE]],ROW()-ROW(ListeCours[[#Headers],[UNIQUE]]),"")</f>
        <v/>
      </c>
    </row>
    <row r="150" spans="1:17" ht="24" hidden="1" customHeight="1" x14ac:dyDescent="0.25">
      <c r="A150" s="61"/>
      <c r="B150" s="60"/>
      <c r="C150" s="59"/>
      <c r="D150" s="60"/>
      <c r="E150" s="62"/>
      <c r="F150" s="62"/>
      <c r="G150" s="114" t="str">
        <f>IF(ListeCours[[#This Row],[DATE]],ListeCours[[#This Row],[HEURE DE FIN]]-ListeCours[[#This Row],[HEURE DE DÉBUT]],"")</f>
        <v/>
      </c>
      <c r="H150" s="63"/>
      <c r="I150" s="63"/>
      <c r="J150" s="117" t="str">
        <f>IF(ListeCours[[#This Row],[DATE]],A150&amp;"_"&amp;COUNTIF($A$3:A150,A150),"")</f>
        <v/>
      </c>
      <c r="K150" s="118" t="str">
        <f>IF(ListeCours[[#This Row],[DATE]],D150&amp;"_"&amp;COUNTIF($D$3:D150,D150),"")</f>
        <v/>
      </c>
      <c r="L150" s="109" t="str">
        <f>IF(ListeCours[[#This Row],[DATE]],MONTH(ListeCours[[#This Row],[DATE]]),"")</f>
        <v/>
      </c>
      <c r="M150" s="107" t="str">
        <f>IF(ListeCours[[#This Row],[DATE]],COUNTIF($L$3:L150,L150),"")</f>
        <v/>
      </c>
      <c r="N150" s="109" t="str">
        <f>IF(ListeCours[[#This Row],[DATE]],YEAR(ListeCours[[#This Row],[DATE]]),"")</f>
        <v/>
      </c>
      <c r="O150" s="109" t="str">
        <f>IF(ListeCours[[#This Row],[DATE]],CONCATENATE(ListeCours[[#This Row],[mois]],".",ListeCours[[#This Row],[freq.mois]],".",ListeCours[[#This Row],[année]]),"")</f>
        <v/>
      </c>
      <c r="P150" s="109" t="str">
        <f>IFERROR(VLOOKUP(ListeCours[[#This Row],[FORMATEUR]],tables!$G$20:$H$54,2,0),"")</f>
        <v/>
      </c>
      <c r="Q150" s="110" t="str">
        <f>IF(ListeCours[[#This Row],[DATE]],ROW()-ROW(ListeCours[[#Headers],[UNIQUE]]),"")</f>
        <v/>
      </c>
    </row>
    <row r="151" spans="1:17" ht="24" hidden="1" customHeight="1" x14ac:dyDescent="0.25">
      <c r="A151" s="61"/>
      <c r="B151" s="60"/>
      <c r="C151" s="59"/>
      <c r="D151" s="60"/>
      <c r="E151" s="62"/>
      <c r="F151" s="62"/>
      <c r="G151" s="114" t="str">
        <f>IF(ListeCours[[#This Row],[DATE]],ListeCours[[#This Row],[HEURE DE FIN]]-ListeCours[[#This Row],[HEURE DE DÉBUT]],"")</f>
        <v/>
      </c>
      <c r="H151" s="63"/>
      <c r="I151" s="63"/>
      <c r="J151" s="117" t="str">
        <f>IF(ListeCours[[#This Row],[DATE]],A151&amp;"_"&amp;COUNTIF($A$3:A151,A151),"")</f>
        <v/>
      </c>
      <c r="K151" s="118" t="str">
        <f>IF(ListeCours[[#This Row],[DATE]],D151&amp;"_"&amp;COUNTIF($D$3:D151,D151),"")</f>
        <v/>
      </c>
      <c r="L151" s="109" t="str">
        <f>IF(ListeCours[[#This Row],[DATE]],MONTH(ListeCours[[#This Row],[DATE]]),"")</f>
        <v/>
      </c>
      <c r="M151" s="107" t="str">
        <f>IF(ListeCours[[#This Row],[DATE]],COUNTIF($L$3:L151,L151),"")</f>
        <v/>
      </c>
      <c r="N151" s="109" t="str">
        <f>IF(ListeCours[[#This Row],[DATE]],YEAR(ListeCours[[#This Row],[DATE]]),"")</f>
        <v/>
      </c>
      <c r="O151" s="109" t="str">
        <f>IF(ListeCours[[#This Row],[DATE]],CONCATENATE(ListeCours[[#This Row],[mois]],".",ListeCours[[#This Row],[freq.mois]],".",ListeCours[[#This Row],[année]]),"")</f>
        <v/>
      </c>
      <c r="P151" s="109" t="str">
        <f>IFERROR(VLOOKUP(ListeCours[[#This Row],[FORMATEUR]],tables!$G$20:$H$54,2,0),"")</f>
        <v/>
      </c>
      <c r="Q151" s="110" t="str">
        <f>IF(ListeCours[[#This Row],[DATE]],ROW()-ROW(ListeCours[[#Headers],[UNIQUE]]),"")</f>
        <v/>
      </c>
    </row>
    <row r="152" spans="1:17" ht="24" hidden="1" customHeight="1" x14ac:dyDescent="0.25">
      <c r="A152" s="61"/>
      <c r="B152" s="60"/>
      <c r="C152" s="59"/>
      <c r="D152" s="60"/>
      <c r="E152" s="62"/>
      <c r="F152" s="62"/>
      <c r="G152" s="114" t="str">
        <f>IF(ListeCours[[#This Row],[DATE]],ListeCours[[#This Row],[HEURE DE FIN]]-ListeCours[[#This Row],[HEURE DE DÉBUT]],"")</f>
        <v/>
      </c>
      <c r="H152" s="63"/>
      <c r="I152" s="63"/>
      <c r="J152" s="117" t="str">
        <f>IF(ListeCours[[#This Row],[DATE]],A152&amp;"_"&amp;COUNTIF($A$3:A152,A152),"")</f>
        <v/>
      </c>
      <c r="K152" s="118" t="str">
        <f>IF(ListeCours[[#This Row],[DATE]],D152&amp;"_"&amp;COUNTIF($D$3:D152,D152),"")</f>
        <v/>
      </c>
      <c r="L152" s="109" t="str">
        <f>IF(ListeCours[[#This Row],[DATE]],MONTH(ListeCours[[#This Row],[DATE]]),"")</f>
        <v/>
      </c>
      <c r="M152" s="107" t="str">
        <f>IF(ListeCours[[#This Row],[DATE]],COUNTIF($L$3:L152,L152),"")</f>
        <v/>
      </c>
      <c r="N152" s="109" t="str">
        <f>IF(ListeCours[[#This Row],[DATE]],YEAR(ListeCours[[#This Row],[DATE]]),"")</f>
        <v/>
      </c>
      <c r="O152" s="109" t="str">
        <f>IF(ListeCours[[#This Row],[DATE]],CONCATENATE(ListeCours[[#This Row],[mois]],".",ListeCours[[#This Row],[freq.mois]],".",ListeCours[[#This Row],[année]]),"")</f>
        <v/>
      </c>
      <c r="P152" s="109" t="str">
        <f>IFERROR(VLOOKUP(ListeCours[[#This Row],[FORMATEUR]],tables!$G$20:$H$54,2,0),"")</f>
        <v/>
      </c>
      <c r="Q152" s="110" t="str">
        <f>IF(ListeCours[[#This Row],[DATE]],ROW()-ROW(ListeCours[[#Headers],[UNIQUE]]),"")</f>
        <v/>
      </c>
    </row>
    <row r="153" spans="1:17" ht="24" hidden="1" customHeight="1" x14ac:dyDescent="0.25">
      <c r="A153" s="61"/>
      <c r="B153" s="60"/>
      <c r="C153" s="59"/>
      <c r="D153" s="60"/>
      <c r="E153" s="62"/>
      <c r="F153" s="62"/>
      <c r="G153" s="114" t="str">
        <f>IF(ListeCours[[#This Row],[DATE]],ListeCours[[#This Row],[HEURE DE FIN]]-ListeCours[[#This Row],[HEURE DE DÉBUT]],"")</f>
        <v/>
      </c>
      <c r="H153" s="63"/>
      <c r="I153" s="63"/>
      <c r="J153" s="117" t="str">
        <f>IF(ListeCours[[#This Row],[DATE]],A153&amp;"_"&amp;COUNTIF($A$3:A153,A153),"")</f>
        <v/>
      </c>
      <c r="K153" s="118" t="str">
        <f>IF(ListeCours[[#This Row],[DATE]],D153&amp;"_"&amp;COUNTIF($D$3:D153,D153),"")</f>
        <v/>
      </c>
      <c r="L153" s="109" t="str">
        <f>IF(ListeCours[[#This Row],[DATE]],MONTH(ListeCours[[#This Row],[DATE]]),"")</f>
        <v/>
      </c>
      <c r="M153" s="107" t="str">
        <f>IF(ListeCours[[#This Row],[DATE]],COUNTIF($L$3:L153,L153),"")</f>
        <v/>
      </c>
      <c r="N153" s="109" t="str">
        <f>IF(ListeCours[[#This Row],[DATE]],YEAR(ListeCours[[#This Row],[DATE]]),"")</f>
        <v/>
      </c>
      <c r="O153" s="109" t="str">
        <f>IF(ListeCours[[#This Row],[DATE]],CONCATENATE(ListeCours[[#This Row],[mois]],".",ListeCours[[#This Row],[freq.mois]],".",ListeCours[[#This Row],[année]]),"")</f>
        <v/>
      </c>
      <c r="P153" s="109" t="str">
        <f>IFERROR(VLOOKUP(ListeCours[[#This Row],[FORMATEUR]],tables!$G$20:$H$54,2,0),"")</f>
        <v/>
      </c>
      <c r="Q153" s="110" t="str">
        <f>IF(ListeCours[[#This Row],[DATE]],ROW()-ROW(ListeCours[[#Headers],[UNIQUE]]),"")</f>
        <v/>
      </c>
    </row>
    <row r="154" spans="1:17" ht="24" hidden="1" customHeight="1" x14ac:dyDescent="0.25">
      <c r="A154" s="61"/>
      <c r="B154" s="60"/>
      <c r="C154" s="59"/>
      <c r="D154" s="60"/>
      <c r="E154" s="62"/>
      <c r="F154" s="62"/>
      <c r="G154" s="114" t="str">
        <f>IF(ListeCours[[#This Row],[DATE]],ListeCours[[#This Row],[HEURE DE FIN]]-ListeCours[[#This Row],[HEURE DE DÉBUT]],"")</f>
        <v/>
      </c>
      <c r="H154" s="63"/>
      <c r="I154" s="63"/>
      <c r="J154" s="117" t="str">
        <f>IF(ListeCours[[#This Row],[DATE]],A154&amp;"_"&amp;COUNTIF($A$3:A154,A154),"")</f>
        <v/>
      </c>
      <c r="K154" s="118" t="str">
        <f>IF(ListeCours[[#This Row],[DATE]],D154&amp;"_"&amp;COUNTIF($D$3:D154,D154),"")</f>
        <v/>
      </c>
      <c r="L154" s="109" t="str">
        <f>IF(ListeCours[[#This Row],[DATE]],MONTH(ListeCours[[#This Row],[DATE]]),"")</f>
        <v/>
      </c>
      <c r="M154" s="107" t="str">
        <f>IF(ListeCours[[#This Row],[DATE]],COUNTIF($L$3:L154,L154),"")</f>
        <v/>
      </c>
      <c r="N154" s="109" t="str">
        <f>IF(ListeCours[[#This Row],[DATE]],YEAR(ListeCours[[#This Row],[DATE]]),"")</f>
        <v/>
      </c>
      <c r="O154" s="109" t="str">
        <f>IF(ListeCours[[#This Row],[DATE]],CONCATENATE(ListeCours[[#This Row],[mois]],".",ListeCours[[#This Row],[freq.mois]],".",ListeCours[[#This Row],[année]]),"")</f>
        <v/>
      </c>
      <c r="P154" s="109" t="str">
        <f>IFERROR(VLOOKUP(ListeCours[[#This Row],[FORMATEUR]],tables!$G$20:$H$54,2,0),"")</f>
        <v/>
      </c>
      <c r="Q154" s="110" t="str">
        <f>IF(ListeCours[[#This Row],[DATE]],ROW()-ROW(ListeCours[[#Headers],[UNIQUE]]),"")</f>
        <v/>
      </c>
    </row>
    <row r="155" spans="1:17" ht="24" hidden="1" customHeight="1" x14ac:dyDescent="0.25">
      <c r="A155" s="61"/>
      <c r="B155" s="60"/>
      <c r="C155" s="59"/>
      <c r="D155" s="60"/>
      <c r="E155" s="62"/>
      <c r="F155" s="62"/>
      <c r="G155" s="114" t="str">
        <f>IF(ListeCours[[#This Row],[DATE]],ListeCours[[#This Row],[HEURE DE FIN]]-ListeCours[[#This Row],[HEURE DE DÉBUT]],"")</f>
        <v/>
      </c>
      <c r="H155" s="63"/>
      <c r="I155" s="63"/>
      <c r="J155" s="117" t="str">
        <f>IF(ListeCours[[#This Row],[DATE]],A155&amp;"_"&amp;COUNTIF($A$3:A155,A155),"")</f>
        <v/>
      </c>
      <c r="K155" s="118" t="str">
        <f>IF(ListeCours[[#This Row],[DATE]],D155&amp;"_"&amp;COUNTIF($D$3:D155,D155),"")</f>
        <v/>
      </c>
      <c r="L155" s="109" t="str">
        <f>IF(ListeCours[[#This Row],[DATE]],MONTH(ListeCours[[#This Row],[DATE]]),"")</f>
        <v/>
      </c>
      <c r="M155" s="107" t="str">
        <f>IF(ListeCours[[#This Row],[DATE]],COUNTIF($L$3:L155,L155),"")</f>
        <v/>
      </c>
      <c r="N155" s="109" t="str">
        <f>IF(ListeCours[[#This Row],[DATE]],YEAR(ListeCours[[#This Row],[DATE]]),"")</f>
        <v/>
      </c>
      <c r="O155" s="109" t="str">
        <f>IF(ListeCours[[#This Row],[DATE]],CONCATENATE(ListeCours[[#This Row],[mois]],".",ListeCours[[#This Row],[freq.mois]],".",ListeCours[[#This Row],[année]]),"")</f>
        <v/>
      </c>
      <c r="P155" s="109" t="str">
        <f>IFERROR(VLOOKUP(ListeCours[[#This Row],[FORMATEUR]],tables!$G$20:$H$54,2,0),"")</f>
        <v/>
      </c>
      <c r="Q155" s="110" t="str">
        <f>IF(ListeCours[[#This Row],[DATE]],ROW()-ROW(ListeCours[[#Headers],[UNIQUE]]),"")</f>
        <v/>
      </c>
    </row>
    <row r="156" spans="1:17" ht="24" hidden="1" customHeight="1" x14ac:dyDescent="0.25">
      <c r="A156" s="61"/>
      <c r="B156" s="60"/>
      <c r="C156" s="59"/>
      <c r="D156" s="60"/>
      <c r="E156" s="62"/>
      <c r="F156" s="62"/>
      <c r="G156" s="114" t="str">
        <f>IF(ListeCours[[#This Row],[DATE]],ListeCours[[#This Row],[HEURE DE FIN]]-ListeCours[[#This Row],[HEURE DE DÉBUT]],"")</f>
        <v/>
      </c>
      <c r="H156" s="63"/>
      <c r="I156" s="63"/>
      <c r="J156" s="117" t="str">
        <f>IF(ListeCours[[#This Row],[DATE]],A156&amp;"_"&amp;COUNTIF($A$3:A156,A156),"")</f>
        <v/>
      </c>
      <c r="K156" s="118" t="str">
        <f>IF(ListeCours[[#This Row],[DATE]],D156&amp;"_"&amp;COUNTIF($D$3:D156,D156),"")</f>
        <v/>
      </c>
      <c r="L156" s="109" t="str">
        <f>IF(ListeCours[[#This Row],[DATE]],MONTH(ListeCours[[#This Row],[DATE]]),"")</f>
        <v/>
      </c>
      <c r="M156" s="107" t="str">
        <f>IF(ListeCours[[#This Row],[DATE]],COUNTIF($L$3:L156,L156),"")</f>
        <v/>
      </c>
      <c r="N156" s="109" t="str">
        <f>IF(ListeCours[[#This Row],[DATE]],YEAR(ListeCours[[#This Row],[DATE]]),"")</f>
        <v/>
      </c>
      <c r="O156" s="109" t="str">
        <f>IF(ListeCours[[#This Row],[DATE]],CONCATENATE(ListeCours[[#This Row],[mois]],".",ListeCours[[#This Row],[freq.mois]],".",ListeCours[[#This Row],[année]]),"")</f>
        <v/>
      </c>
      <c r="P156" s="109" t="str">
        <f>IFERROR(VLOOKUP(ListeCours[[#This Row],[FORMATEUR]],tables!$G$20:$H$54,2,0),"")</f>
        <v/>
      </c>
      <c r="Q156" s="110" t="str">
        <f>IF(ListeCours[[#This Row],[DATE]],ROW()-ROW(ListeCours[[#Headers],[UNIQUE]]),"")</f>
        <v/>
      </c>
    </row>
    <row r="157" spans="1:17" ht="24" hidden="1" customHeight="1" x14ac:dyDescent="0.25">
      <c r="A157" s="61"/>
      <c r="B157" s="60"/>
      <c r="C157" s="59"/>
      <c r="D157" s="60"/>
      <c r="E157" s="62"/>
      <c r="F157" s="62"/>
      <c r="G157" s="114" t="str">
        <f>IF(ListeCours[[#This Row],[DATE]],ListeCours[[#This Row],[HEURE DE FIN]]-ListeCours[[#This Row],[HEURE DE DÉBUT]],"")</f>
        <v/>
      </c>
      <c r="H157" s="63"/>
      <c r="I157" s="63"/>
      <c r="J157" s="117" t="str">
        <f>IF(ListeCours[[#This Row],[DATE]],A157&amp;"_"&amp;COUNTIF($A$3:A157,A157),"")</f>
        <v/>
      </c>
      <c r="K157" s="118" t="str">
        <f>IF(ListeCours[[#This Row],[DATE]],D157&amp;"_"&amp;COUNTIF($D$3:D157,D157),"")</f>
        <v/>
      </c>
      <c r="L157" s="109" t="str">
        <f>IF(ListeCours[[#This Row],[DATE]],MONTH(ListeCours[[#This Row],[DATE]]),"")</f>
        <v/>
      </c>
      <c r="M157" s="107" t="str">
        <f>IF(ListeCours[[#This Row],[DATE]],COUNTIF($L$3:L157,L157),"")</f>
        <v/>
      </c>
      <c r="N157" s="109" t="str">
        <f>IF(ListeCours[[#This Row],[DATE]],YEAR(ListeCours[[#This Row],[DATE]]),"")</f>
        <v/>
      </c>
      <c r="O157" s="109" t="str">
        <f>IF(ListeCours[[#This Row],[DATE]],CONCATENATE(ListeCours[[#This Row],[mois]],".",ListeCours[[#This Row],[freq.mois]],".",ListeCours[[#This Row],[année]]),"")</f>
        <v/>
      </c>
      <c r="P157" s="109" t="str">
        <f>IFERROR(VLOOKUP(ListeCours[[#This Row],[FORMATEUR]],tables!$G$20:$H$54,2,0),"")</f>
        <v/>
      </c>
      <c r="Q157" s="110" t="str">
        <f>IF(ListeCours[[#This Row],[DATE]],ROW()-ROW(ListeCours[[#Headers],[UNIQUE]]),"")</f>
        <v/>
      </c>
    </row>
    <row r="158" spans="1:17" ht="24" hidden="1" customHeight="1" x14ac:dyDescent="0.25">
      <c r="A158" s="61"/>
      <c r="B158" s="60"/>
      <c r="C158" s="59"/>
      <c r="D158" s="60"/>
      <c r="E158" s="62"/>
      <c r="F158" s="62"/>
      <c r="G158" s="114" t="str">
        <f>IF(ListeCours[[#This Row],[DATE]],ListeCours[[#This Row],[HEURE DE FIN]]-ListeCours[[#This Row],[HEURE DE DÉBUT]],"")</f>
        <v/>
      </c>
      <c r="H158" s="63"/>
      <c r="I158" s="63"/>
      <c r="J158" s="117" t="str">
        <f>IF(ListeCours[[#This Row],[DATE]],A158&amp;"_"&amp;COUNTIF($A$3:A158,A158),"")</f>
        <v/>
      </c>
      <c r="K158" s="118" t="str">
        <f>IF(ListeCours[[#This Row],[DATE]],D158&amp;"_"&amp;COUNTIF($D$3:D158,D158),"")</f>
        <v/>
      </c>
      <c r="L158" s="109" t="str">
        <f>IF(ListeCours[[#This Row],[DATE]],MONTH(ListeCours[[#This Row],[DATE]]),"")</f>
        <v/>
      </c>
      <c r="M158" s="107" t="str">
        <f>IF(ListeCours[[#This Row],[DATE]],COUNTIF($L$3:L158,L158),"")</f>
        <v/>
      </c>
      <c r="N158" s="109" t="str">
        <f>IF(ListeCours[[#This Row],[DATE]],YEAR(ListeCours[[#This Row],[DATE]]),"")</f>
        <v/>
      </c>
      <c r="O158" s="109" t="str">
        <f>IF(ListeCours[[#This Row],[DATE]],CONCATENATE(ListeCours[[#This Row],[mois]],".",ListeCours[[#This Row],[freq.mois]],".",ListeCours[[#This Row],[année]]),"")</f>
        <v/>
      </c>
      <c r="P158" s="109" t="str">
        <f>IFERROR(VLOOKUP(ListeCours[[#This Row],[FORMATEUR]],tables!$G$20:$H$54,2,0),"")</f>
        <v/>
      </c>
      <c r="Q158" s="110" t="str">
        <f>IF(ListeCours[[#This Row],[DATE]],ROW()-ROW(ListeCours[[#Headers],[UNIQUE]]),"")</f>
        <v/>
      </c>
    </row>
    <row r="159" spans="1:17" ht="24" hidden="1" customHeight="1" x14ac:dyDescent="0.25">
      <c r="A159" s="61"/>
      <c r="B159" s="60"/>
      <c r="C159" s="59"/>
      <c r="D159" s="60"/>
      <c r="E159" s="62"/>
      <c r="F159" s="62"/>
      <c r="G159" s="114" t="str">
        <f>IF(ListeCours[[#This Row],[DATE]],ListeCours[[#This Row],[HEURE DE FIN]]-ListeCours[[#This Row],[HEURE DE DÉBUT]],"")</f>
        <v/>
      </c>
      <c r="H159" s="63"/>
      <c r="I159" s="63"/>
      <c r="J159" s="117" t="str">
        <f>IF(ListeCours[[#This Row],[DATE]],A159&amp;"_"&amp;COUNTIF($A$3:A159,A159),"")</f>
        <v/>
      </c>
      <c r="K159" s="118" t="str">
        <f>IF(ListeCours[[#This Row],[DATE]],D159&amp;"_"&amp;COUNTIF($D$3:D159,D159),"")</f>
        <v/>
      </c>
      <c r="L159" s="109" t="str">
        <f>IF(ListeCours[[#This Row],[DATE]],MONTH(ListeCours[[#This Row],[DATE]]),"")</f>
        <v/>
      </c>
      <c r="M159" s="107" t="str">
        <f>IF(ListeCours[[#This Row],[DATE]],COUNTIF($L$3:L159,L159),"")</f>
        <v/>
      </c>
      <c r="N159" s="109" t="str">
        <f>IF(ListeCours[[#This Row],[DATE]],YEAR(ListeCours[[#This Row],[DATE]]),"")</f>
        <v/>
      </c>
      <c r="O159" s="109" t="str">
        <f>IF(ListeCours[[#This Row],[DATE]],CONCATENATE(ListeCours[[#This Row],[mois]],".",ListeCours[[#This Row],[freq.mois]],".",ListeCours[[#This Row],[année]]),"")</f>
        <v/>
      </c>
      <c r="P159" s="109" t="str">
        <f>IFERROR(VLOOKUP(ListeCours[[#This Row],[FORMATEUR]],tables!$G$20:$H$54,2,0),"")</f>
        <v/>
      </c>
      <c r="Q159" s="110" t="str">
        <f>IF(ListeCours[[#This Row],[DATE]],ROW()-ROW(ListeCours[[#Headers],[UNIQUE]]),"")</f>
        <v/>
      </c>
    </row>
    <row r="160" spans="1:17" ht="24" hidden="1" customHeight="1" x14ac:dyDescent="0.25">
      <c r="A160" s="61"/>
      <c r="B160" s="60"/>
      <c r="C160" s="59"/>
      <c r="D160" s="60"/>
      <c r="E160" s="62"/>
      <c r="F160" s="62"/>
      <c r="G160" s="114" t="str">
        <f>IF(ListeCours[[#This Row],[DATE]],ListeCours[[#This Row],[HEURE DE FIN]]-ListeCours[[#This Row],[HEURE DE DÉBUT]],"")</f>
        <v/>
      </c>
      <c r="H160" s="63"/>
      <c r="I160" s="63"/>
      <c r="J160" s="117" t="str">
        <f>IF(ListeCours[[#This Row],[DATE]],A160&amp;"_"&amp;COUNTIF($A$3:A160,A160),"")</f>
        <v/>
      </c>
      <c r="K160" s="118" t="str">
        <f>IF(ListeCours[[#This Row],[DATE]],D160&amp;"_"&amp;COUNTIF($D$3:D160,D160),"")</f>
        <v/>
      </c>
      <c r="L160" s="109" t="str">
        <f>IF(ListeCours[[#This Row],[DATE]],MONTH(ListeCours[[#This Row],[DATE]]),"")</f>
        <v/>
      </c>
      <c r="M160" s="107" t="str">
        <f>IF(ListeCours[[#This Row],[DATE]],COUNTIF($L$3:L160,L160),"")</f>
        <v/>
      </c>
      <c r="N160" s="109" t="str">
        <f>IF(ListeCours[[#This Row],[DATE]],YEAR(ListeCours[[#This Row],[DATE]]),"")</f>
        <v/>
      </c>
      <c r="O160" s="109" t="str">
        <f>IF(ListeCours[[#This Row],[DATE]],CONCATENATE(ListeCours[[#This Row],[mois]],".",ListeCours[[#This Row],[freq.mois]],".",ListeCours[[#This Row],[année]]),"")</f>
        <v/>
      </c>
      <c r="P160" s="109" t="str">
        <f>IFERROR(VLOOKUP(ListeCours[[#This Row],[FORMATEUR]],tables!$G$20:$H$54,2,0),"")</f>
        <v/>
      </c>
      <c r="Q160" s="110" t="str">
        <f>IF(ListeCours[[#This Row],[DATE]],ROW()-ROW(ListeCours[[#Headers],[UNIQUE]]),"")</f>
        <v/>
      </c>
    </row>
    <row r="161" spans="1:17" ht="24" hidden="1" customHeight="1" x14ac:dyDescent="0.25">
      <c r="A161" s="61"/>
      <c r="B161" s="60"/>
      <c r="C161" s="59"/>
      <c r="D161" s="60"/>
      <c r="E161" s="62"/>
      <c r="F161" s="62"/>
      <c r="G161" s="114" t="str">
        <f>IF(ListeCours[[#This Row],[DATE]],ListeCours[[#This Row],[HEURE DE FIN]]-ListeCours[[#This Row],[HEURE DE DÉBUT]],"")</f>
        <v/>
      </c>
      <c r="H161" s="63"/>
      <c r="I161" s="63"/>
      <c r="J161" s="117" t="str">
        <f>IF(ListeCours[[#This Row],[DATE]],A161&amp;"_"&amp;COUNTIF($A$3:A161,A161),"")</f>
        <v/>
      </c>
      <c r="K161" s="118" t="str">
        <f>IF(ListeCours[[#This Row],[DATE]],D161&amp;"_"&amp;COUNTIF($D$3:D161,D161),"")</f>
        <v/>
      </c>
      <c r="L161" s="109" t="str">
        <f>IF(ListeCours[[#This Row],[DATE]],MONTH(ListeCours[[#This Row],[DATE]]),"")</f>
        <v/>
      </c>
      <c r="M161" s="107" t="str">
        <f>IF(ListeCours[[#This Row],[DATE]],COUNTIF($L$3:L161,L161),"")</f>
        <v/>
      </c>
      <c r="N161" s="109" t="str">
        <f>IF(ListeCours[[#This Row],[DATE]],YEAR(ListeCours[[#This Row],[DATE]]),"")</f>
        <v/>
      </c>
      <c r="O161" s="109" t="str">
        <f>IF(ListeCours[[#This Row],[DATE]],CONCATENATE(ListeCours[[#This Row],[mois]],".",ListeCours[[#This Row],[freq.mois]],".",ListeCours[[#This Row],[année]]),"")</f>
        <v/>
      </c>
      <c r="P161" s="109" t="str">
        <f>IFERROR(VLOOKUP(ListeCours[[#This Row],[FORMATEUR]],tables!$G$20:$H$54,2,0),"")</f>
        <v/>
      </c>
      <c r="Q161" s="110" t="str">
        <f>IF(ListeCours[[#This Row],[DATE]],ROW()-ROW(ListeCours[[#Headers],[UNIQUE]]),"")</f>
        <v/>
      </c>
    </row>
    <row r="162" spans="1:17" ht="24" hidden="1" customHeight="1" x14ac:dyDescent="0.25">
      <c r="A162" s="61"/>
      <c r="B162" s="60"/>
      <c r="C162" s="59"/>
      <c r="D162" s="60"/>
      <c r="E162" s="62"/>
      <c r="F162" s="62"/>
      <c r="G162" s="114" t="str">
        <f>IF(ListeCours[[#This Row],[DATE]],ListeCours[[#This Row],[HEURE DE FIN]]-ListeCours[[#This Row],[HEURE DE DÉBUT]],"")</f>
        <v/>
      </c>
      <c r="H162" s="63"/>
      <c r="I162" s="63"/>
      <c r="J162" s="117" t="str">
        <f>IF(ListeCours[[#This Row],[DATE]],A162&amp;"_"&amp;COUNTIF($A$3:A162,A162),"")</f>
        <v/>
      </c>
      <c r="K162" s="118" t="str">
        <f>IF(ListeCours[[#This Row],[DATE]],D162&amp;"_"&amp;COUNTIF($D$3:D162,D162),"")</f>
        <v/>
      </c>
      <c r="L162" s="109" t="str">
        <f>IF(ListeCours[[#This Row],[DATE]],MONTH(ListeCours[[#This Row],[DATE]]),"")</f>
        <v/>
      </c>
      <c r="M162" s="107" t="str">
        <f>IF(ListeCours[[#This Row],[DATE]],COUNTIF($L$3:L162,L162),"")</f>
        <v/>
      </c>
      <c r="N162" s="109" t="str">
        <f>IF(ListeCours[[#This Row],[DATE]],YEAR(ListeCours[[#This Row],[DATE]]),"")</f>
        <v/>
      </c>
      <c r="O162" s="109" t="str">
        <f>IF(ListeCours[[#This Row],[DATE]],CONCATENATE(ListeCours[[#This Row],[mois]],".",ListeCours[[#This Row],[freq.mois]],".",ListeCours[[#This Row],[année]]),"")</f>
        <v/>
      </c>
      <c r="P162" s="109" t="str">
        <f>IFERROR(VLOOKUP(ListeCours[[#This Row],[FORMATEUR]],tables!$G$20:$H$54,2,0),"")</f>
        <v/>
      </c>
      <c r="Q162" s="110" t="str">
        <f>IF(ListeCours[[#This Row],[DATE]],ROW()-ROW(ListeCours[[#Headers],[UNIQUE]]),"")</f>
        <v/>
      </c>
    </row>
    <row r="163" spans="1:17" ht="24" hidden="1" customHeight="1" x14ac:dyDescent="0.25">
      <c r="A163" s="61"/>
      <c r="B163" s="60"/>
      <c r="C163" s="59"/>
      <c r="D163" s="60"/>
      <c r="E163" s="62"/>
      <c r="F163" s="62"/>
      <c r="G163" s="114" t="str">
        <f>IF(ListeCours[[#This Row],[DATE]],ListeCours[[#This Row],[HEURE DE FIN]]-ListeCours[[#This Row],[HEURE DE DÉBUT]],"")</f>
        <v/>
      </c>
      <c r="H163" s="63"/>
      <c r="I163" s="63"/>
      <c r="J163" s="117" t="str">
        <f>IF(ListeCours[[#This Row],[DATE]],A163&amp;"_"&amp;COUNTIF($A$3:A163,A163),"")</f>
        <v/>
      </c>
      <c r="K163" s="118" t="str">
        <f>IF(ListeCours[[#This Row],[DATE]],D163&amp;"_"&amp;COUNTIF($D$3:D163,D163),"")</f>
        <v/>
      </c>
      <c r="L163" s="109" t="str">
        <f>IF(ListeCours[[#This Row],[DATE]],MONTH(ListeCours[[#This Row],[DATE]]),"")</f>
        <v/>
      </c>
      <c r="M163" s="107" t="str">
        <f>IF(ListeCours[[#This Row],[DATE]],COUNTIF($L$3:L163,L163),"")</f>
        <v/>
      </c>
      <c r="N163" s="109" t="str">
        <f>IF(ListeCours[[#This Row],[DATE]],YEAR(ListeCours[[#This Row],[DATE]]),"")</f>
        <v/>
      </c>
      <c r="O163" s="109" t="str">
        <f>IF(ListeCours[[#This Row],[DATE]],CONCATENATE(ListeCours[[#This Row],[mois]],".",ListeCours[[#This Row],[freq.mois]],".",ListeCours[[#This Row],[année]]),"")</f>
        <v/>
      </c>
      <c r="P163" s="109" t="str">
        <f>IFERROR(VLOOKUP(ListeCours[[#This Row],[FORMATEUR]],tables!$G$20:$H$54,2,0),"")</f>
        <v/>
      </c>
      <c r="Q163" s="110" t="str">
        <f>IF(ListeCours[[#This Row],[DATE]],ROW()-ROW(ListeCours[[#Headers],[UNIQUE]]),"")</f>
        <v/>
      </c>
    </row>
    <row r="164" spans="1:17" ht="24" hidden="1" customHeight="1" x14ac:dyDescent="0.25">
      <c r="A164" s="61"/>
      <c r="B164" s="60"/>
      <c r="C164" s="59"/>
      <c r="D164" s="60"/>
      <c r="E164" s="62"/>
      <c r="F164" s="62"/>
      <c r="G164" s="114" t="str">
        <f>IF(ListeCours[[#This Row],[DATE]],ListeCours[[#This Row],[HEURE DE FIN]]-ListeCours[[#This Row],[HEURE DE DÉBUT]],"")</f>
        <v/>
      </c>
      <c r="H164" s="63"/>
      <c r="I164" s="63"/>
      <c r="J164" s="117" t="str">
        <f>IF(ListeCours[[#This Row],[DATE]],A164&amp;"_"&amp;COUNTIF($A$3:A164,A164),"")</f>
        <v/>
      </c>
      <c r="K164" s="118" t="str">
        <f>IF(ListeCours[[#This Row],[DATE]],D164&amp;"_"&amp;COUNTIF($D$3:D164,D164),"")</f>
        <v/>
      </c>
      <c r="L164" s="109" t="str">
        <f>IF(ListeCours[[#This Row],[DATE]],MONTH(ListeCours[[#This Row],[DATE]]),"")</f>
        <v/>
      </c>
      <c r="M164" s="107" t="str">
        <f>IF(ListeCours[[#This Row],[DATE]],COUNTIF($L$3:L164,L164),"")</f>
        <v/>
      </c>
      <c r="N164" s="109" t="str">
        <f>IF(ListeCours[[#This Row],[DATE]],YEAR(ListeCours[[#This Row],[DATE]]),"")</f>
        <v/>
      </c>
      <c r="O164" s="109" t="str">
        <f>IF(ListeCours[[#This Row],[DATE]],CONCATENATE(ListeCours[[#This Row],[mois]],".",ListeCours[[#This Row],[freq.mois]],".",ListeCours[[#This Row],[année]]),"")</f>
        <v/>
      </c>
      <c r="P164" s="109" t="str">
        <f>IFERROR(VLOOKUP(ListeCours[[#This Row],[FORMATEUR]],tables!$G$20:$H$54,2,0),"")</f>
        <v/>
      </c>
      <c r="Q164" s="110" t="str">
        <f>IF(ListeCours[[#This Row],[DATE]],ROW()-ROW(ListeCours[[#Headers],[UNIQUE]]),"")</f>
        <v/>
      </c>
    </row>
    <row r="165" spans="1:17" ht="24" hidden="1" customHeight="1" x14ac:dyDescent="0.25">
      <c r="A165" s="61"/>
      <c r="B165" s="60"/>
      <c r="C165" s="59"/>
      <c r="D165" s="60"/>
      <c r="E165" s="62"/>
      <c r="F165" s="62"/>
      <c r="G165" s="114" t="str">
        <f>IF(ListeCours[[#This Row],[DATE]],ListeCours[[#This Row],[HEURE DE FIN]]-ListeCours[[#This Row],[HEURE DE DÉBUT]],"")</f>
        <v/>
      </c>
      <c r="H165" s="63"/>
      <c r="I165" s="63"/>
      <c r="J165" s="117" t="str">
        <f>IF(ListeCours[[#This Row],[DATE]],A165&amp;"_"&amp;COUNTIF($A$3:A165,A165),"")</f>
        <v/>
      </c>
      <c r="K165" s="118" t="str">
        <f>IF(ListeCours[[#This Row],[DATE]],D165&amp;"_"&amp;COUNTIF($D$3:D165,D165),"")</f>
        <v/>
      </c>
      <c r="L165" s="109" t="str">
        <f>IF(ListeCours[[#This Row],[DATE]],MONTH(ListeCours[[#This Row],[DATE]]),"")</f>
        <v/>
      </c>
      <c r="M165" s="107" t="str">
        <f>IF(ListeCours[[#This Row],[DATE]],COUNTIF($L$3:L165,L165),"")</f>
        <v/>
      </c>
      <c r="N165" s="109" t="str">
        <f>IF(ListeCours[[#This Row],[DATE]],YEAR(ListeCours[[#This Row],[DATE]]),"")</f>
        <v/>
      </c>
      <c r="O165" s="109" t="str">
        <f>IF(ListeCours[[#This Row],[DATE]],CONCATENATE(ListeCours[[#This Row],[mois]],".",ListeCours[[#This Row],[freq.mois]],".",ListeCours[[#This Row],[année]]),"")</f>
        <v/>
      </c>
      <c r="P165" s="109" t="str">
        <f>IFERROR(VLOOKUP(ListeCours[[#This Row],[FORMATEUR]],tables!$G$20:$H$54,2,0),"")</f>
        <v/>
      </c>
      <c r="Q165" s="110" t="str">
        <f>IF(ListeCours[[#This Row],[DATE]],ROW()-ROW(ListeCours[[#Headers],[UNIQUE]]),"")</f>
        <v/>
      </c>
    </row>
    <row r="166" spans="1:17" ht="24" hidden="1" customHeight="1" x14ac:dyDescent="0.25">
      <c r="A166" s="61"/>
      <c r="B166" s="60"/>
      <c r="C166" s="59"/>
      <c r="D166" s="60"/>
      <c r="E166" s="62"/>
      <c r="F166" s="62"/>
      <c r="G166" s="114" t="str">
        <f>IF(ListeCours[[#This Row],[DATE]],ListeCours[[#This Row],[HEURE DE FIN]]-ListeCours[[#This Row],[HEURE DE DÉBUT]],"")</f>
        <v/>
      </c>
      <c r="H166" s="63"/>
      <c r="I166" s="63"/>
      <c r="J166" s="117" t="str">
        <f>IF(ListeCours[[#This Row],[DATE]],A166&amp;"_"&amp;COUNTIF($A$3:A166,A166),"")</f>
        <v/>
      </c>
      <c r="K166" s="118" t="str">
        <f>IF(ListeCours[[#This Row],[DATE]],D166&amp;"_"&amp;COUNTIF($D$3:D166,D166),"")</f>
        <v/>
      </c>
      <c r="L166" s="109" t="str">
        <f>IF(ListeCours[[#This Row],[DATE]],MONTH(ListeCours[[#This Row],[DATE]]),"")</f>
        <v/>
      </c>
      <c r="M166" s="107" t="str">
        <f>IF(ListeCours[[#This Row],[DATE]],COUNTIF($L$3:L166,L166),"")</f>
        <v/>
      </c>
      <c r="N166" s="109" t="str">
        <f>IF(ListeCours[[#This Row],[DATE]],YEAR(ListeCours[[#This Row],[DATE]]),"")</f>
        <v/>
      </c>
      <c r="O166" s="109" t="str">
        <f>IF(ListeCours[[#This Row],[DATE]],CONCATENATE(ListeCours[[#This Row],[mois]],".",ListeCours[[#This Row],[freq.mois]],".",ListeCours[[#This Row],[année]]),"")</f>
        <v/>
      </c>
      <c r="P166" s="109" t="str">
        <f>IFERROR(VLOOKUP(ListeCours[[#This Row],[FORMATEUR]],tables!$G$20:$H$54,2,0),"")</f>
        <v/>
      </c>
      <c r="Q166" s="110" t="str">
        <f>IF(ListeCours[[#This Row],[DATE]],ROW()-ROW(ListeCours[[#Headers],[UNIQUE]]),"")</f>
        <v/>
      </c>
    </row>
    <row r="167" spans="1:17" ht="24" hidden="1" customHeight="1" x14ac:dyDescent="0.25">
      <c r="A167" s="61"/>
      <c r="B167" s="60"/>
      <c r="C167" s="59"/>
      <c r="D167" s="60"/>
      <c r="E167" s="62"/>
      <c r="F167" s="62"/>
      <c r="G167" s="114" t="str">
        <f>IF(ListeCours[[#This Row],[DATE]],ListeCours[[#This Row],[HEURE DE FIN]]-ListeCours[[#This Row],[HEURE DE DÉBUT]],"")</f>
        <v/>
      </c>
      <c r="H167" s="63"/>
      <c r="I167" s="63"/>
      <c r="J167" s="117" t="str">
        <f>IF(ListeCours[[#This Row],[DATE]],A167&amp;"_"&amp;COUNTIF($A$3:A167,A167),"")</f>
        <v/>
      </c>
      <c r="K167" s="118" t="str">
        <f>IF(ListeCours[[#This Row],[DATE]],D167&amp;"_"&amp;COUNTIF($D$3:D167,D167),"")</f>
        <v/>
      </c>
      <c r="L167" s="109" t="str">
        <f>IF(ListeCours[[#This Row],[DATE]],MONTH(ListeCours[[#This Row],[DATE]]),"")</f>
        <v/>
      </c>
      <c r="M167" s="107" t="str">
        <f>IF(ListeCours[[#This Row],[DATE]],COUNTIF($L$3:L167,L167),"")</f>
        <v/>
      </c>
      <c r="N167" s="109" t="str">
        <f>IF(ListeCours[[#This Row],[DATE]],YEAR(ListeCours[[#This Row],[DATE]]),"")</f>
        <v/>
      </c>
      <c r="O167" s="109" t="str">
        <f>IF(ListeCours[[#This Row],[DATE]],CONCATENATE(ListeCours[[#This Row],[mois]],".",ListeCours[[#This Row],[freq.mois]],".",ListeCours[[#This Row],[année]]),"")</f>
        <v/>
      </c>
      <c r="P167" s="109" t="str">
        <f>IFERROR(VLOOKUP(ListeCours[[#This Row],[FORMATEUR]],tables!$G$20:$H$54,2,0),"")</f>
        <v/>
      </c>
      <c r="Q167" s="110" t="str">
        <f>IF(ListeCours[[#This Row],[DATE]],ROW()-ROW(ListeCours[[#Headers],[UNIQUE]]),"")</f>
        <v/>
      </c>
    </row>
    <row r="168" spans="1:17" ht="24" hidden="1" customHeight="1" x14ac:dyDescent="0.25">
      <c r="A168" s="61"/>
      <c r="B168" s="60"/>
      <c r="C168" s="59"/>
      <c r="D168" s="60"/>
      <c r="E168" s="62"/>
      <c r="F168" s="62"/>
      <c r="G168" s="114" t="str">
        <f>IF(ListeCours[[#This Row],[DATE]],ListeCours[[#This Row],[HEURE DE FIN]]-ListeCours[[#This Row],[HEURE DE DÉBUT]],"")</f>
        <v/>
      </c>
      <c r="H168" s="63"/>
      <c r="I168" s="63"/>
      <c r="J168" s="117" t="str">
        <f>IF(ListeCours[[#This Row],[DATE]],A168&amp;"_"&amp;COUNTIF($A$3:A168,A168),"")</f>
        <v/>
      </c>
      <c r="K168" s="118" t="str">
        <f>IF(ListeCours[[#This Row],[DATE]],D168&amp;"_"&amp;COUNTIF($D$3:D168,D168),"")</f>
        <v/>
      </c>
      <c r="L168" s="109" t="str">
        <f>IF(ListeCours[[#This Row],[DATE]],MONTH(ListeCours[[#This Row],[DATE]]),"")</f>
        <v/>
      </c>
      <c r="M168" s="107" t="str">
        <f>IF(ListeCours[[#This Row],[DATE]],COUNTIF($L$3:L168,L168),"")</f>
        <v/>
      </c>
      <c r="N168" s="109" t="str">
        <f>IF(ListeCours[[#This Row],[DATE]],YEAR(ListeCours[[#This Row],[DATE]]),"")</f>
        <v/>
      </c>
      <c r="O168" s="109" t="str">
        <f>IF(ListeCours[[#This Row],[DATE]],CONCATENATE(ListeCours[[#This Row],[mois]],".",ListeCours[[#This Row],[freq.mois]],".",ListeCours[[#This Row],[année]]),"")</f>
        <v/>
      </c>
      <c r="P168" s="109" t="str">
        <f>IFERROR(VLOOKUP(ListeCours[[#This Row],[FORMATEUR]],tables!$G$20:$H$54,2,0),"")</f>
        <v/>
      </c>
      <c r="Q168" s="110" t="str">
        <f>IF(ListeCours[[#This Row],[DATE]],ROW()-ROW(ListeCours[[#Headers],[UNIQUE]]),"")</f>
        <v/>
      </c>
    </row>
    <row r="169" spans="1:17" ht="24" hidden="1" customHeight="1" x14ac:dyDescent="0.25">
      <c r="A169" s="61"/>
      <c r="B169" s="60"/>
      <c r="C169" s="59"/>
      <c r="D169" s="60"/>
      <c r="E169" s="62"/>
      <c r="F169" s="62"/>
      <c r="G169" s="114" t="str">
        <f>IF(ListeCours[[#This Row],[DATE]],ListeCours[[#This Row],[HEURE DE FIN]]-ListeCours[[#This Row],[HEURE DE DÉBUT]],"")</f>
        <v/>
      </c>
      <c r="H169" s="63"/>
      <c r="I169" s="63"/>
      <c r="J169" s="117" t="str">
        <f>IF(ListeCours[[#This Row],[DATE]],A169&amp;"_"&amp;COUNTIF($A$3:A169,A169),"")</f>
        <v/>
      </c>
      <c r="K169" s="118" t="str">
        <f>IF(ListeCours[[#This Row],[DATE]],D169&amp;"_"&amp;COUNTIF($D$3:D169,D169),"")</f>
        <v/>
      </c>
      <c r="L169" s="109" t="str">
        <f>IF(ListeCours[[#This Row],[DATE]],MONTH(ListeCours[[#This Row],[DATE]]),"")</f>
        <v/>
      </c>
      <c r="M169" s="107" t="str">
        <f>IF(ListeCours[[#This Row],[DATE]],COUNTIF($L$3:L169,L169),"")</f>
        <v/>
      </c>
      <c r="N169" s="109" t="str">
        <f>IF(ListeCours[[#This Row],[DATE]],YEAR(ListeCours[[#This Row],[DATE]]),"")</f>
        <v/>
      </c>
      <c r="O169" s="109" t="str">
        <f>IF(ListeCours[[#This Row],[DATE]],CONCATENATE(ListeCours[[#This Row],[mois]],".",ListeCours[[#This Row],[freq.mois]],".",ListeCours[[#This Row],[année]]),"")</f>
        <v/>
      </c>
      <c r="P169" s="109" t="str">
        <f>IFERROR(VLOOKUP(ListeCours[[#This Row],[FORMATEUR]],tables!$G$20:$H$54,2,0),"")</f>
        <v/>
      </c>
      <c r="Q169" s="110" t="str">
        <f>IF(ListeCours[[#This Row],[DATE]],ROW()-ROW(ListeCours[[#Headers],[UNIQUE]]),"")</f>
        <v/>
      </c>
    </row>
    <row r="170" spans="1:17" ht="24" hidden="1" customHeight="1" x14ac:dyDescent="0.25">
      <c r="A170" s="61"/>
      <c r="B170" s="60"/>
      <c r="C170" s="59"/>
      <c r="D170" s="60"/>
      <c r="E170" s="62"/>
      <c r="F170" s="62"/>
      <c r="G170" s="114" t="str">
        <f>IF(ListeCours[[#This Row],[DATE]],ListeCours[[#This Row],[HEURE DE FIN]]-ListeCours[[#This Row],[HEURE DE DÉBUT]],"")</f>
        <v/>
      </c>
      <c r="H170" s="63"/>
      <c r="I170" s="63"/>
      <c r="J170" s="117" t="str">
        <f>IF(ListeCours[[#This Row],[DATE]],A170&amp;"_"&amp;COUNTIF($A$3:A170,A170),"")</f>
        <v/>
      </c>
      <c r="K170" s="118" t="str">
        <f>IF(ListeCours[[#This Row],[DATE]],D170&amp;"_"&amp;COUNTIF($D$3:D170,D170),"")</f>
        <v/>
      </c>
      <c r="L170" s="109" t="str">
        <f>IF(ListeCours[[#This Row],[DATE]],MONTH(ListeCours[[#This Row],[DATE]]),"")</f>
        <v/>
      </c>
      <c r="M170" s="107" t="str">
        <f>IF(ListeCours[[#This Row],[DATE]],COUNTIF($L$3:L170,L170),"")</f>
        <v/>
      </c>
      <c r="N170" s="109" t="str">
        <f>IF(ListeCours[[#This Row],[DATE]],YEAR(ListeCours[[#This Row],[DATE]]),"")</f>
        <v/>
      </c>
      <c r="O170" s="109" t="str">
        <f>IF(ListeCours[[#This Row],[DATE]],CONCATENATE(ListeCours[[#This Row],[mois]],".",ListeCours[[#This Row],[freq.mois]],".",ListeCours[[#This Row],[année]]),"")</f>
        <v/>
      </c>
      <c r="P170" s="109" t="str">
        <f>IFERROR(VLOOKUP(ListeCours[[#This Row],[FORMATEUR]],tables!$G$20:$H$54,2,0),"")</f>
        <v/>
      </c>
      <c r="Q170" s="110" t="str">
        <f>IF(ListeCours[[#This Row],[DATE]],ROW()-ROW(ListeCours[[#Headers],[UNIQUE]]),"")</f>
        <v/>
      </c>
    </row>
    <row r="171" spans="1:17" ht="24" hidden="1" customHeight="1" x14ac:dyDescent="0.25">
      <c r="A171" s="61"/>
      <c r="B171" s="60"/>
      <c r="C171" s="59"/>
      <c r="D171" s="60"/>
      <c r="E171" s="62"/>
      <c r="F171" s="62"/>
      <c r="G171" s="114" t="str">
        <f>IF(ListeCours[[#This Row],[DATE]],ListeCours[[#This Row],[HEURE DE FIN]]-ListeCours[[#This Row],[HEURE DE DÉBUT]],"")</f>
        <v/>
      </c>
      <c r="H171" s="63"/>
      <c r="I171" s="63"/>
      <c r="J171" s="117" t="str">
        <f>IF(ListeCours[[#This Row],[DATE]],A171&amp;"_"&amp;COUNTIF($A$3:A171,A171),"")</f>
        <v/>
      </c>
      <c r="K171" s="118" t="str">
        <f>IF(ListeCours[[#This Row],[DATE]],D171&amp;"_"&amp;COUNTIF($D$3:D171,D171),"")</f>
        <v/>
      </c>
      <c r="L171" s="109" t="str">
        <f>IF(ListeCours[[#This Row],[DATE]],MONTH(ListeCours[[#This Row],[DATE]]),"")</f>
        <v/>
      </c>
      <c r="M171" s="107" t="str">
        <f>IF(ListeCours[[#This Row],[DATE]],COUNTIF($L$3:L171,L171),"")</f>
        <v/>
      </c>
      <c r="N171" s="109" t="str">
        <f>IF(ListeCours[[#This Row],[DATE]],YEAR(ListeCours[[#This Row],[DATE]]),"")</f>
        <v/>
      </c>
      <c r="O171" s="109" t="str">
        <f>IF(ListeCours[[#This Row],[DATE]],CONCATENATE(ListeCours[[#This Row],[mois]],".",ListeCours[[#This Row],[freq.mois]],".",ListeCours[[#This Row],[année]]),"")</f>
        <v/>
      </c>
      <c r="P171" s="109" t="str">
        <f>IFERROR(VLOOKUP(ListeCours[[#This Row],[FORMATEUR]],tables!$G$20:$H$54,2,0),"")</f>
        <v/>
      </c>
      <c r="Q171" s="110" t="str">
        <f>IF(ListeCours[[#This Row],[DATE]],ROW()-ROW(ListeCours[[#Headers],[UNIQUE]]),"")</f>
        <v/>
      </c>
    </row>
    <row r="172" spans="1:17" ht="24" hidden="1" customHeight="1" x14ac:dyDescent="0.25">
      <c r="A172" s="61"/>
      <c r="B172" s="60"/>
      <c r="C172" s="59"/>
      <c r="D172" s="60"/>
      <c r="E172" s="62"/>
      <c r="F172" s="62"/>
      <c r="G172" s="114" t="str">
        <f>IF(ListeCours[[#This Row],[DATE]],ListeCours[[#This Row],[HEURE DE FIN]]-ListeCours[[#This Row],[HEURE DE DÉBUT]],"")</f>
        <v/>
      </c>
      <c r="H172" s="63"/>
      <c r="I172" s="63"/>
      <c r="J172" s="117" t="str">
        <f>IF(ListeCours[[#This Row],[DATE]],A172&amp;"_"&amp;COUNTIF($A$3:A172,A172),"")</f>
        <v/>
      </c>
      <c r="K172" s="118" t="str">
        <f>IF(ListeCours[[#This Row],[DATE]],D172&amp;"_"&amp;COUNTIF($D$3:D172,D172),"")</f>
        <v/>
      </c>
      <c r="L172" s="109" t="str">
        <f>IF(ListeCours[[#This Row],[DATE]],MONTH(ListeCours[[#This Row],[DATE]]),"")</f>
        <v/>
      </c>
      <c r="M172" s="107" t="str">
        <f>IF(ListeCours[[#This Row],[DATE]],COUNTIF($L$3:L172,L172),"")</f>
        <v/>
      </c>
      <c r="N172" s="109" t="str">
        <f>IF(ListeCours[[#This Row],[DATE]],YEAR(ListeCours[[#This Row],[DATE]]),"")</f>
        <v/>
      </c>
      <c r="O172" s="109" t="str">
        <f>IF(ListeCours[[#This Row],[DATE]],CONCATENATE(ListeCours[[#This Row],[mois]],".",ListeCours[[#This Row],[freq.mois]],".",ListeCours[[#This Row],[année]]),"")</f>
        <v/>
      </c>
      <c r="P172" s="109" t="str">
        <f>IFERROR(VLOOKUP(ListeCours[[#This Row],[FORMATEUR]],tables!$G$20:$H$54,2,0),"")</f>
        <v/>
      </c>
      <c r="Q172" s="110" t="str">
        <f>IF(ListeCours[[#This Row],[DATE]],ROW()-ROW(ListeCours[[#Headers],[UNIQUE]]),"")</f>
        <v/>
      </c>
    </row>
    <row r="173" spans="1:17" ht="24" hidden="1" customHeight="1" x14ac:dyDescent="0.25">
      <c r="A173" s="61"/>
      <c r="B173" s="60"/>
      <c r="C173" s="59"/>
      <c r="D173" s="60"/>
      <c r="E173" s="62"/>
      <c r="F173" s="62"/>
      <c r="G173" s="114" t="str">
        <f>IF(ListeCours[[#This Row],[DATE]],ListeCours[[#This Row],[HEURE DE FIN]]-ListeCours[[#This Row],[HEURE DE DÉBUT]],"")</f>
        <v/>
      </c>
      <c r="H173" s="63"/>
      <c r="I173" s="63"/>
      <c r="J173" s="117" t="str">
        <f>IF(ListeCours[[#This Row],[DATE]],A173&amp;"_"&amp;COUNTIF($A$3:A173,A173),"")</f>
        <v/>
      </c>
      <c r="K173" s="118" t="str">
        <f>IF(ListeCours[[#This Row],[DATE]],D173&amp;"_"&amp;COUNTIF($D$3:D173,D173),"")</f>
        <v/>
      </c>
      <c r="L173" s="109" t="str">
        <f>IF(ListeCours[[#This Row],[DATE]],MONTH(ListeCours[[#This Row],[DATE]]),"")</f>
        <v/>
      </c>
      <c r="M173" s="107" t="str">
        <f>IF(ListeCours[[#This Row],[DATE]],COUNTIF($L$3:L173,L173),"")</f>
        <v/>
      </c>
      <c r="N173" s="109" t="str">
        <f>IF(ListeCours[[#This Row],[DATE]],YEAR(ListeCours[[#This Row],[DATE]]),"")</f>
        <v/>
      </c>
      <c r="O173" s="109" t="str">
        <f>IF(ListeCours[[#This Row],[DATE]],CONCATENATE(ListeCours[[#This Row],[mois]],".",ListeCours[[#This Row],[freq.mois]],".",ListeCours[[#This Row],[année]]),"")</f>
        <v/>
      </c>
      <c r="P173" s="109" t="str">
        <f>IFERROR(VLOOKUP(ListeCours[[#This Row],[FORMATEUR]],tables!$G$20:$H$54,2,0),"")</f>
        <v/>
      </c>
      <c r="Q173" s="110" t="str">
        <f>IF(ListeCours[[#This Row],[DATE]],ROW()-ROW(ListeCours[[#Headers],[UNIQUE]]),"")</f>
        <v/>
      </c>
    </row>
    <row r="174" spans="1:17" ht="24" hidden="1" customHeight="1" x14ac:dyDescent="0.25">
      <c r="A174" s="61"/>
      <c r="B174" s="60"/>
      <c r="C174" s="59"/>
      <c r="D174" s="60"/>
      <c r="E174" s="62"/>
      <c r="F174" s="62"/>
      <c r="G174" s="114" t="str">
        <f>IF(ListeCours[[#This Row],[DATE]],ListeCours[[#This Row],[HEURE DE FIN]]-ListeCours[[#This Row],[HEURE DE DÉBUT]],"")</f>
        <v/>
      </c>
      <c r="H174" s="63"/>
      <c r="I174" s="63"/>
      <c r="J174" s="117" t="str">
        <f>IF(ListeCours[[#This Row],[DATE]],A174&amp;"_"&amp;COUNTIF($A$3:A174,A174),"")</f>
        <v/>
      </c>
      <c r="K174" s="118" t="str">
        <f>IF(ListeCours[[#This Row],[DATE]],D174&amp;"_"&amp;COUNTIF($D$3:D174,D174),"")</f>
        <v/>
      </c>
      <c r="L174" s="109" t="str">
        <f>IF(ListeCours[[#This Row],[DATE]],MONTH(ListeCours[[#This Row],[DATE]]),"")</f>
        <v/>
      </c>
      <c r="M174" s="107" t="str">
        <f>IF(ListeCours[[#This Row],[DATE]],COUNTIF($L$3:L174,L174),"")</f>
        <v/>
      </c>
      <c r="N174" s="109" t="str">
        <f>IF(ListeCours[[#This Row],[DATE]],YEAR(ListeCours[[#This Row],[DATE]]),"")</f>
        <v/>
      </c>
      <c r="O174" s="109" t="str">
        <f>IF(ListeCours[[#This Row],[DATE]],CONCATENATE(ListeCours[[#This Row],[mois]],".",ListeCours[[#This Row],[freq.mois]],".",ListeCours[[#This Row],[année]]),"")</f>
        <v/>
      </c>
      <c r="P174" s="109" t="str">
        <f>IFERROR(VLOOKUP(ListeCours[[#This Row],[FORMATEUR]],tables!$G$20:$H$54,2,0),"")</f>
        <v/>
      </c>
      <c r="Q174" s="110" t="str">
        <f>IF(ListeCours[[#This Row],[DATE]],ROW()-ROW(ListeCours[[#Headers],[UNIQUE]]),"")</f>
        <v/>
      </c>
    </row>
    <row r="175" spans="1:17" ht="24" hidden="1" customHeight="1" x14ac:dyDescent="0.25">
      <c r="A175" s="61"/>
      <c r="B175" s="60"/>
      <c r="C175" s="59"/>
      <c r="D175" s="60"/>
      <c r="E175" s="62"/>
      <c r="F175" s="62"/>
      <c r="G175" s="114" t="str">
        <f>IF(ListeCours[[#This Row],[DATE]],ListeCours[[#This Row],[HEURE DE FIN]]-ListeCours[[#This Row],[HEURE DE DÉBUT]],"")</f>
        <v/>
      </c>
      <c r="H175" s="63"/>
      <c r="I175" s="63"/>
      <c r="J175" s="117" t="str">
        <f>IF(ListeCours[[#This Row],[DATE]],A175&amp;"_"&amp;COUNTIF($A$3:A175,A175),"")</f>
        <v/>
      </c>
      <c r="K175" s="118" t="str">
        <f>IF(ListeCours[[#This Row],[DATE]],D175&amp;"_"&amp;COUNTIF($D$3:D175,D175),"")</f>
        <v/>
      </c>
      <c r="L175" s="109" t="str">
        <f>IF(ListeCours[[#This Row],[DATE]],MONTH(ListeCours[[#This Row],[DATE]]),"")</f>
        <v/>
      </c>
      <c r="M175" s="107" t="str">
        <f>IF(ListeCours[[#This Row],[DATE]],COUNTIF($L$3:L175,L175),"")</f>
        <v/>
      </c>
      <c r="N175" s="109" t="str">
        <f>IF(ListeCours[[#This Row],[DATE]],YEAR(ListeCours[[#This Row],[DATE]]),"")</f>
        <v/>
      </c>
      <c r="O175" s="109" t="str">
        <f>IF(ListeCours[[#This Row],[DATE]],CONCATENATE(ListeCours[[#This Row],[mois]],".",ListeCours[[#This Row],[freq.mois]],".",ListeCours[[#This Row],[année]]),"")</f>
        <v/>
      </c>
      <c r="P175" s="109" t="str">
        <f>IFERROR(VLOOKUP(ListeCours[[#This Row],[FORMATEUR]],tables!$G$20:$H$54,2,0),"")</f>
        <v/>
      </c>
      <c r="Q175" s="110" t="str">
        <f>IF(ListeCours[[#This Row],[DATE]],ROW()-ROW(ListeCours[[#Headers],[UNIQUE]]),"")</f>
        <v/>
      </c>
    </row>
    <row r="176" spans="1:17" ht="24" hidden="1" customHeight="1" x14ac:dyDescent="0.25">
      <c r="A176" s="61"/>
      <c r="B176" s="60"/>
      <c r="C176" s="59"/>
      <c r="D176" s="60"/>
      <c r="E176" s="62"/>
      <c r="F176" s="62"/>
      <c r="G176" s="114" t="str">
        <f>IF(ListeCours[[#This Row],[DATE]],ListeCours[[#This Row],[HEURE DE FIN]]-ListeCours[[#This Row],[HEURE DE DÉBUT]],"")</f>
        <v/>
      </c>
      <c r="H176" s="63"/>
      <c r="I176" s="63"/>
      <c r="J176" s="117" t="str">
        <f>IF(ListeCours[[#This Row],[DATE]],A176&amp;"_"&amp;COUNTIF($A$3:A176,A176),"")</f>
        <v/>
      </c>
      <c r="K176" s="118" t="str">
        <f>IF(ListeCours[[#This Row],[DATE]],D176&amp;"_"&amp;COUNTIF($D$3:D176,D176),"")</f>
        <v/>
      </c>
      <c r="L176" s="109" t="str">
        <f>IF(ListeCours[[#This Row],[DATE]],MONTH(ListeCours[[#This Row],[DATE]]),"")</f>
        <v/>
      </c>
      <c r="M176" s="107" t="str">
        <f>IF(ListeCours[[#This Row],[DATE]],COUNTIF($L$3:L176,L176),"")</f>
        <v/>
      </c>
      <c r="N176" s="109" t="str">
        <f>IF(ListeCours[[#This Row],[DATE]],YEAR(ListeCours[[#This Row],[DATE]]),"")</f>
        <v/>
      </c>
      <c r="O176" s="109" t="str">
        <f>IF(ListeCours[[#This Row],[DATE]],CONCATENATE(ListeCours[[#This Row],[mois]],".",ListeCours[[#This Row],[freq.mois]],".",ListeCours[[#This Row],[année]]),"")</f>
        <v/>
      </c>
      <c r="P176" s="109" t="str">
        <f>IFERROR(VLOOKUP(ListeCours[[#This Row],[FORMATEUR]],tables!$G$20:$H$54,2,0),"")</f>
        <v/>
      </c>
      <c r="Q176" s="110" t="str">
        <f>IF(ListeCours[[#This Row],[DATE]],ROW()-ROW(ListeCours[[#Headers],[UNIQUE]]),"")</f>
        <v/>
      </c>
    </row>
    <row r="177" spans="1:17" ht="24" hidden="1" customHeight="1" x14ac:dyDescent="0.25">
      <c r="A177" s="61"/>
      <c r="B177" s="60"/>
      <c r="C177" s="59"/>
      <c r="D177" s="60"/>
      <c r="E177" s="62"/>
      <c r="F177" s="62"/>
      <c r="G177" s="114" t="str">
        <f>IF(ListeCours[[#This Row],[DATE]],ListeCours[[#This Row],[HEURE DE FIN]]-ListeCours[[#This Row],[HEURE DE DÉBUT]],"")</f>
        <v/>
      </c>
      <c r="H177" s="63"/>
      <c r="I177" s="63"/>
      <c r="J177" s="117" t="str">
        <f>IF(ListeCours[[#This Row],[DATE]],A177&amp;"_"&amp;COUNTIF($A$3:A177,A177),"")</f>
        <v/>
      </c>
      <c r="K177" s="118" t="str">
        <f>IF(ListeCours[[#This Row],[DATE]],D177&amp;"_"&amp;COUNTIF($D$3:D177,D177),"")</f>
        <v/>
      </c>
      <c r="L177" s="109" t="str">
        <f>IF(ListeCours[[#This Row],[DATE]],MONTH(ListeCours[[#This Row],[DATE]]),"")</f>
        <v/>
      </c>
      <c r="M177" s="107" t="str">
        <f>IF(ListeCours[[#This Row],[DATE]],COUNTIF($L$3:L177,L177),"")</f>
        <v/>
      </c>
      <c r="N177" s="109" t="str">
        <f>IF(ListeCours[[#This Row],[DATE]],YEAR(ListeCours[[#This Row],[DATE]]),"")</f>
        <v/>
      </c>
      <c r="O177" s="109" t="str">
        <f>IF(ListeCours[[#This Row],[DATE]],CONCATENATE(ListeCours[[#This Row],[mois]],".",ListeCours[[#This Row],[freq.mois]],".",ListeCours[[#This Row],[année]]),"")</f>
        <v/>
      </c>
      <c r="P177" s="109" t="str">
        <f>IFERROR(VLOOKUP(ListeCours[[#This Row],[FORMATEUR]],tables!$G$20:$H$54,2,0),"")</f>
        <v/>
      </c>
      <c r="Q177" s="110" t="str">
        <f>IF(ListeCours[[#This Row],[DATE]],ROW()-ROW(ListeCours[[#Headers],[UNIQUE]]),"")</f>
        <v/>
      </c>
    </row>
    <row r="178" spans="1:17" ht="24" hidden="1" customHeight="1" x14ac:dyDescent="0.25">
      <c r="A178" s="61"/>
      <c r="B178" s="60"/>
      <c r="C178" s="59"/>
      <c r="D178" s="60"/>
      <c r="E178" s="62"/>
      <c r="F178" s="62"/>
      <c r="G178" s="114" t="str">
        <f>IF(ListeCours[[#This Row],[DATE]],ListeCours[[#This Row],[HEURE DE FIN]]-ListeCours[[#This Row],[HEURE DE DÉBUT]],"")</f>
        <v/>
      </c>
      <c r="H178" s="63"/>
      <c r="I178" s="63"/>
      <c r="J178" s="117" t="str">
        <f>IF(ListeCours[[#This Row],[DATE]],A178&amp;"_"&amp;COUNTIF($A$3:A178,A178),"")</f>
        <v/>
      </c>
      <c r="K178" s="118" t="str">
        <f>IF(ListeCours[[#This Row],[DATE]],D178&amp;"_"&amp;COUNTIF($D$3:D178,D178),"")</f>
        <v/>
      </c>
      <c r="L178" s="109" t="str">
        <f>IF(ListeCours[[#This Row],[DATE]],MONTH(ListeCours[[#This Row],[DATE]]),"")</f>
        <v/>
      </c>
      <c r="M178" s="107" t="str">
        <f>IF(ListeCours[[#This Row],[DATE]],COUNTIF($L$3:L178,L178),"")</f>
        <v/>
      </c>
      <c r="N178" s="109" t="str">
        <f>IF(ListeCours[[#This Row],[DATE]],YEAR(ListeCours[[#This Row],[DATE]]),"")</f>
        <v/>
      </c>
      <c r="O178" s="109" t="str">
        <f>IF(ListeCours[[#This Row],[DATE]],CONCATENATE(ListeCours[[#This Row],[mois]],".",ListeCours[[#This Row],[freq.mois]],".",ListeCours[[#This Row],[année]]),"")</f>
        <v/>
      </c>
      <c r="P178" s="109" t="str">
        <f>IFERROR(VLOOKUP(ListeCours[[#This Row],[FORMATEUR]],tables!$G$20:$H$54,2,0),"")</f>
        <v/>
      </c>
      <c r="Q178" s="110" t="str">
        <f>IF(ListeCours[[#This Row],[DATE]],ROW()-ROW(ListeCours[[#Headers],[UNIQUE]]),"")</f>
        <v/>
      </c>
    </row>
    <row r="179" spans="1:17" ht="24" hidden="1" customHeight="1" x14ac:dyDescent="0.25">
      <c r="A179" s="61"/>
      <c r="B179" s="60"/>
      <c r="C179" s="59"/>
      <c r="D179" s="60"/>
      <c r="E179" s="62"/>
      <c r="F179" s="62"/>
      <c r="G179" s="114" t="str">
        <f>IF(ListeCours[[#This Row],[DATE]],ListeCours[[#This Row],[HEURE DE FIN]]-ListeCours[[#This Row],[HEURE DE DÉBUT]],"")</f>
        <v/>
      </c>
      <c r="H179" s="63"/>
      <c r="I179" s="63"/>
      <c r="J179" s="117" t="str">
        <f>IF(ListeCours[[#This Row],[DATE]],A179&amp;"_"&amp;COUNTIF($A$3:A179,A179),"")</f>
        <v/>
      </c>
      <c r="K179" s="118" t="str">
        <f>IF(ListeCours[[#This Row],[DATE]],D179&amp;"_"&amp;COUNTIF($D$3:D179,D179),"")</f>
        <v/>
      </c>
      <c r="L179" s="109" t="str">
        <f>IF(ListeCours[[#This Row],[DATE]],MONTH(ListeCours[[#This Row],[DATE]]),"")</f>
        <v/>
      </c>
      <c r="M179" s="107" t="str">
        <f>IF(ListeCours[[#This Row],[DATE]],COUNTIF($L$3:L179,L179),"")</f>
        <v/>
      </c>
      <c r="N179" s="109" t="str">
        <f>IF(ListeCours[[#This Row],[DATE]],YEAR(ListeCours[[#This Row],[DATE]]),"")</f>
        <v/>
      </c>
      <c r="O179" s="109" t="str">
        <f>IF(ListeCours[[#This Row],[DATE]],CONCATENATE(ListeCours[[#This Row],[mois]],".",ListeCours[[#This Row],[freq.mois]],".",ListeCours[[#This Row],[année]]),"")</f>
        <v/>
      </c>
      <c r="P179" s="109" t="str">
        <f>IFERROR(VLOOKUP(ListeCours[[#This Row],[FORMATEUR]],tables!$G$20:$H$54,2,0),"")</f>
        <v/>
      </c>
      <c r="Q179" s="110" t="str">
        <f>IF(ListeCours[[#This Row],[DATE]],ROW()-ROW(ListeCours[[#Headers],[UNIQUE]]),"")</f>
        <v/>
      </c>
    </row>
    <row r="180" spans="1:17" ht="24" hidden="1" customHeight="1" x14ac:dyDescent="0.25">
      <c r="A180" s="61"/>
      <c r="B180" s="60"/>
      <c r="C180" s="59"/>
      <c r="D180" s="60"/>
      <c r="E180" s="62"/>
      <c r="F180" s="62"/>
      <c r="G180" s="114" t="str">
        <f>IF(ListeCours[[#This Row],[DATE]],ListeCours[[#This Row],[HEURE DE FIN]]-ListeCours[[#This Row],[HEURE DE DÉBUT]],"")</f>
        <v/>
      </c>
      <c r="H180" s="63"/>
      <c r="I180" s="63"/>
      <c r="J180" s="117" t="str">
        <f>IF(ListeCours[[#This Row],[DATE]],A180&amp;"_"&amp;COUNTIF($A$3:A180,A180),"")</f>
        <v/>
      </c>
      <c r="K180" s="118" t="str">
        <f>IF(ListeCours[[#This Row],[DATE]],D180&amp;"_"&amp;COUNTIF($D$3:D180,D180),"")</f>
        <v/>
      </c>
      <c r="L180" s="109" t="str">
        <f>IF(ListeCours[[#This Row],[DATE]],MONTH(ListeCours[[#This Row],[DATE]]),"")</f>
        <v/>
      </c>
      <c r="M180" s="107" t="str">
        <f>IF(ListeCours[[#This Row],[DATE]],COUNTIF($L$3:L180,L180),"")</f>
        <v/>
      </c>
      <c r="N180" s="109" t="str">
        <f>IF(ListeCours[[#This Row],[DATE]],YEAR(ListeCours[[#This Row],[DATE]]),"")</f>
        <v/>
      </c>
      <c r="O180" s="109" t="str">
        <f>IF(ListeCours[[#This Row],[DATE]],CONCATENATE(ListeCours[[#This Row],[mois]],".",ListeCours[[#This Row],[freq.mois]],".",ListeCours[[#This Row],[année]]),"")</f>
        <v/>
      </c>
      <c r="P180" s="109" t="str">
        <f>IFERROR(VLOOKUP(ListeCours[[#This Row],[FORMATEUR]],tables!$G$20:$H$54,2,0),"")</f>
        <v/>
      </c>
      <c r="Q180" s="110" t="str">
        <f>IF(ListeCours[[#This Row],[DATE]],ROW()-ROW(ListeCours[[#Headers],[UNIQUE]]),"")</f>
        <v/>
      </c>
    </row>
    <row r="181" spans="1:17" ht="24" hidden="1" customHeight="1" x14ac:dyDescent="0.25">
      <c r="A181" s="61"/>
      <c r="B181" s="60"/>
      <c r="C181" s="59"/>
      <c r="D181" s="60"/>
      <c r="E181" s="62"/>
      <c r="F181" s="62"/>
      <c r="G181" s="114" t="str">
        <f>IF(ListeCours[[#This Row],[DATE]],ListeCours[[#This Row],[HEURE DE FIN]]-ListeCours[[#This Row],[HEURE DE DÉBUT]],"")</f>
        <v/>
      </c>
      <c r="H181" s="63"/>
      <c r="I181" s="63"/>
      <c r="J181" s="117" t="str">
        <f>IF(ListeCours[[#This Row],[DATE]],A181&amp;"_"&amp;COUNTIF($A$3:A181,A181),"")</f>
        <v/>
      </c>
      <c r="K181" s="118" t="str">
        <f>IF(ListeCours[[#This Row],[DATE]],D181&amp;"_"&amp;COUNTIF($D$3:D181,D181),"")</f>
        <v/>
      </c>
      <c r="L181" s="109" t="str">
        <f>IF(ListeCours[[#This Row],[DATE]],MONTH(ListeCours[[#This Row],[DATE]]),"")</f>
        <v/>
      </c>
      <c r="M181" s="107" t="str">
        <f>IF(ListeCours[[#This Row],[DATE]],COUNTIF($L$3:L181,L181),"")</f>
        <v/>
      </c>
      <c r="N181" s="109" t="str">
        <f>IF(ListeCours[[#This Row],[DATE]],YEAR(ListeCours[[#This Row],[DATE]]),"")</f>
        <v/>
      </c>
      <c r="O181" s="109" t="str">
        <f>IF(ListeCours[[#This Row],[DATE]],CONCATENATE(ListeCours[[#This Row],[mois]],".",ListeCours[[#This Row],[freq.mois]],".",ListeCours[[#This Row],[année]]),"")</f>
        <v/>
      </c>
      <c r="P181" s="109" t="str">
        <f>IFERROR(VLOOKUP(ListeCours[[#This Row],[FORMATEUR]],tables!$G$20:$H$54,2,0),"")</f>
        <v/>
      </c>
      <c r="Q181" s="110" t="str">
        <f>IF(ListeCours[[#This Row],[DATE]],ROW()-ROW(ListeCours[[#Headers],[UNIQUE]]),"")</f>
        <v/>
      </c>
    </row>
    <row r="182" spans="1:17" ht="24" hidden="1" customHeight="1" x14ac:dyDescent="0.25">
      <c r="A182" s="61"/>
      <c r="B182" s="60"/>
      <c r="C182" s="59"/>
      <c r="D182" s="60"/>
      <c r="E182" s="62"/>
      <c r="F182" s="62"/>
      <c r="G182" s="114" t="str">
        <f>IF(ListeCours[[#This Row],[DATE]],ListeCours[[#This Row],[HEURE DE FIN]]-ListeCours[[#This Row],[HEURE DE DÉBUT]],"")</f>
        <v/>
      </c>
      <c r="H182" s="63"/>
      <c r="I182" s="63"/>
      <c r="J182" s="117" t="str">
        <f>IF(ListeCours[[#This Row],[DATE]],A182&amp;"_"&amp;COUNTIF($A$3:A182,A182),"")</f>
        <v/>
      </c>
      <c r="K182" s="118" t="str">
        <f>IF(ListeCours[[#This Row],[DATE]],D182&amp;"_"&amp;COUNTIF($D$3:D182,D182),"")</f>
        <v/>
      </c>
      <c r="L182" s="109" t="str">
        <f>IF(ListeCours[[#This Row],[DATE]],MONTH(ListeCours[[#This Row],[DATE]]),"")</f>
        <v/>
      </c>
      <c r="M182" s="107" t="str">
        <f>IF(ListeCours[[#This Row],[DATE]],COUNTIF($L$3:L182,L182),"")</f>
        <v/>
      </c>
      <c r="N182" s="109" t="str">
        <f>IF(ListeCours[[#This Row],[DATE]],YEAR(ListeCours[[#This Row],[DATE]]),"")</f>
        <v/>
      </c>
      <c r="O182" s="109" t="str">
        <f>IF(ListeCours[[#This Row],[DATE]],CONCATENATE(ListeCours[[#This Row],[mois]],".",ListeCours[[#This Row],[freq.mois]],".",ListeCours[[#This Row],[année]]),"")</f>
        <v/>
      </c>
      <c r="P182" s="109" t="str">
        <f>IFERROR(VLOOKUP(ListeCours[[#This Row],[FORMATEUR]],tables!$G$20:$H$54,2,0),"")</f>
        <v/>
      </c>
      <c r="Q182" s="110" t="str">
        <f>IF(ListeCours[[#This Row],[DATE]],ROW()-ROW(ListeCours[[#Headers],[UNIQUE]]),"")</f>
        <v/>
      </c>
    </row>
    <row r="183" spans="1:17" ht="24" hidden="1" customHeight="1" x14ac:dyDescent="0.25">
      <c r="A183" s="61"/>
      <c r="B183" s="60"/>
      <c r="C183" s="59"/>
      <c r="D183" s="60"/>
      <c r="E183" s="62"/>
      <c r="F183" s="62"/>
      <c r="G183" s="114" t="str">
        <f>IF(ListeCours[[#This Row],[DATE]],ListeCours[[#This Row],[HEURE DE FIN]]-ListeCours[[#This Row],[HEURE DE DÉBUT]],"")</f>
        <v/>
      </c>
      <c r="H183" s="63"/>
      <c r="I183" s="63"/>
      <c r="J183" s="117" t="str">
        <f>IF(ListeCours[[#This Row],[DATE]],A183&amp;"_"&amp;COUNTIF($A$3:A183,A183),"")</f>
        <v/>
      </c>
      <c r="K183" s="118" t="str">
        <f>IF(ListeCours[[#This Row],[DATE]],D183&amp;"_"&amp;COUNTIF($D$3:D183,D183),"")</f>
        <v/>
      </c>
      <c r="L183" s="109" t="str">
        <f>IF(ListeCours[[#This Row],[DATE]],MONTH(ListeCours[[#This Row],[DATE]]),"")</f>
        <v/>
      </c>
      <c r="M183" s="107" t="str">
        <f>IF(ListeCours[[#This Row],[DATE]],COUNTIF($L$3:L183,L183),"")</f>
        <v/>
      </c>
      <c r="N183" s="109" t="str">
        <f>IF(ListeCours[[#This Row],[DATE]],YEAR(ListeCours[[#This Row],[DATE]]),"")</f>
        <v/>
      </c>
      <c r="O183" s="109" t="str">
        <f>IF(ListeCours[[#This Row],[DATE]],CONCATENATE(ListeCours[[#This Row],[mois]],".",ListeCours[[#This Row],[freq.mois]],".",ListeCours[[#This Row],[année]]),"")</f>
        <v/>
      </c>
      <c r="P183" s="109" t="str">
        <f>IFERROR(VLOOKUP(ListeCours[[#This Row],[FORMATEUR]],tables!$G$20:$H$54,2,0),"")</f>
        <v/>
      </c>
      <c r="Q183" s="110" t="str">
        <f>IF(ListeCours[[#This Row],[DATE]],ROW()-ROW(ListeCours[[#Headers],[UNIQUE]]),"")</f>
        <v/>
      </c>
    </row>
    <row r="184" spans="1:17" ht="24" hidden="1" customHeight="1" x14ac:dyDescent="0.25">
      <c r="A184" s="61"/>
      <c r="B184" s="60"/>
      <c r="C184" s="59"/>
      <c r="D184" s="60"/>
      <c r="E184" s="62"/>
      <c r="F184" s="62"/>
      <c r="G184" s="114" t="str">
        <f>IF(ListeCours[[#This Row],[DATE]],ListeCours[[#This Row],[HEURE DE FIN]]-ListeCours[[#This Row],[HEURE DE DÉBUT]],"")</f>
        <v/>
      </c>
      <c r="H184" s="63"/>
      <c r="I184" s="63"/>
      <c r="J184" s="117" t="str">
        <f>IF(ListeCours[[#This Row],[DATE]],A184&amp;"_"&amp;COUNTIF($A$3:A184,A184),"")</f>
        <v/>
      </c>
      <c r="K184" s="118" t="str">
        <f>IF(ListeCours[[#This Row],[DATE]],D184&amp;"_"&amp;COUNTIF($D$3:D184,D184),"")</f>
        <v/>
      </c>
      <c r="L184" s="109" t="str">
        <f>IF(ListeCours[[#This Row],[DATE]],MONTH(ListeCours[[#This Row],[DATE]]),"")</f>
        <v/>
      </c>
      <c r="M184" s="107" t="str">
        <f>IF(ListeCours[[#This Row],[DATE]],COUNTIF($L$3:L184,L184),"")</f>
        <v/>
      </c>
      <c r="N184" s="109" t="str">
        <f>IF(ListeCours[[#This Row],[DATE]],YEAR(ListeCours[[#This Row],[DATE]]),"")</f>
        <v/>
      </c>
      <c r="O184" s="109" t="str">
        <f>IF(ListeCours[[#This Row],[DATE]],CONCATENATE(ListeCours[[#This Row],[mois]],".",ListeCours[[#This Row],[freq.mois]],".",ListeCours[[#This Row],[année]]),"")</f>
        <v/>
      </c>
      <c r="P184" s="109" t="str">
        <f>IFERROR(VLOOKUP(ListeCours[[#This Row],[FORMATEUR]],tables!$G$20:$H$54,2,0),"")</f>
        <v/>
      </c>
      <c r="Q184" s="110" t="str">
        <f>IF(ListeCours[[#This Row],[DATE]],ROW()-ROW(ListeCours[[#Headers],[UNIQUE]]),"")</f>
        <v/>
      </c>
    </row>
    <row r="185" spans="1:17" ht="24" hidden="1" customHeight="1" x14ac:dyDescent="0.25">
      <c r="A185" s="61"/>
      <c r="B185" s="60"/>
      <c r="C185" s="59"/>
      <c r="D185" s="60"/>
      <c r="E185" s="62"/>
      <c r="F185" s="62"/>
      <c r="G185" s="114" t="str">
        <f>IF(ListeCours[[#This Row],[DATE]],ListeCours[[#This Row],[HEURE DE FIN]]-ListeCours[[#This Row],[HEURE DE DÉBUT]],"")</f>
        <v/>
      </c>
      <c r="H185" s="63"/>
      <c r="I185" s="63"/>
      <c r="J185" s="117" t="str">
        <f>IF(ListeCours[[#This Row],[DATE]],A185&amp;"_"&amp;COUNTIF($A$3:A185,A185),"")</f>
        <v/>
      </c>
      <c r="K185" s="118" t="str">
        <f>IF(ListeCours[[#This Row],[DATE]],D185&amp;"_"&amp;COUNTIF($D$3:D185,D185),"")</f>
        <v/>
      </c>
      <c r="L185" s="109" t="str">
        <f>IF(ListeCours[[#This Row],[DATE]],MONTH(ListeCours[[#This Row],[DATE]]),"")</f>
        <v/>
      </c>
      <c r="M185" s="107" t="str">
        <f>IF(ListeCours[[#This Row],[DATE]],COUNTIF($L$3:L185,L185),"")</f>
        <v/>
      </c>
      <c r="N185" s="109" t="str">
        <f>IF(ListeCours[[#This Row],[DATE]],YEAR(ListeCours[[#This Row],[DATE]]),"")</f>
        <v/>
      </c>
      <c r="O185" s="109" t="str">
        <f>IF(ListeCours[[#This Row],[DATE]],CONCATENATE(ListeCours[[#This Row],[mois]],".",ListeCours[[#This Row],[freq.mois]],".",ListeCours[[#This Row],[année]]),"")</f>
        <v/>
      </c>
      <c r="P185" s="109" t="str">
        <f>IFERROR(VLOOKUP(ListeCours[[#This Row],[FORMATEUR]],tables!$G$20:$H$54,2,0),"")</f>
        <v/>
      </c>
      <c r="Q185" s="110" t="str">
        <f>IF(ListeCours[[#This Row],[DATE]],ROW()-ROW(ListeCours[[#Headers],[UNIQUE]]),"")</f>
        <v/>
      </c>
    </row>
    <row r="186" spans="1:17" ht="24" hidden="1" customHeight="1" x14ac:dyDescent="0.25">
      <c r="A186" s="61"/>
      <c r="B186" s="60"/>
      <c r="C186" s="59"/>
      <c r="D186" s="60"/>
      <c r="E186" s="62"/>
      <c r="F186" s="62"/>
      <c r="G186" s="114" t="str">
        <f>IF(ListeCours[[#This Row],[DATE]],ListeCours[[#This Row],[HEURE DE FIN]]-ListeCours[[#This Row],[HEURE DE DÉBUT]],"")</f>
        <v/>
      </c>
      <c r="H186" s="63"/>
      <c r="I186" s="63"/>
      <c r="J186" s="117" t="str">
        <f>IF(ListeCours[[#This Row],[DATE]],A186&amp;"_"&amp;COUNTIF($A$3:A186,A186),"")</f>
        <v/>
      </c>
      <c r="K186" s="118" t="str">
        <f>IF(ListeCours[[#This Row],[DATE]],D186&amp;"_"&amp;COUNTIF($D$3:D186,D186),"")</f>
        <v/>
      </c>
      <c r="L186" s="109" t="str">
        <f>IF(ListeCours[[#This Row],[DATE]],MONTH(ListeCours[[#This Row],[DATE]]),"")</f>
        <v/>
      </c>
      <c r="M186" s="107" t="str">
        <f>IF(ListeCours[[#This Row],[DATE]],COUNTIF($L$3:L186,L186),"")</f>
        <v/>
      </c>
      <c r="N186" s="109" t="str">
        <f>IF(ListeCours[[#This Row],[DATE]],YEAR(ListeCours[[#This Row],[DATE]]),"")</f>
        <v/>
      </c>
      <c r="O186" s="109" t="str">
        <f>IF(ListeCours[[#This Row],[DATE]],CONCATENATE(ListeCours[[#This Row],[mois]],".",ListeCours[[#This Row],[freq.mois]],".",ListeCours[[#This Row],[année]]),"")</f>
        <v/>
      </c>
      <c r="P186" s="109" t="str">
        <f>IFERROR(VLOOKUP(ListeCours[[#This Row],[FORMATEUR]],tables!$G$20:$H$54,2,0),"")</f>
        <v/>
      </c>
      <c r="Q186" s="110" t="str">
        <f>IF(ListeCours[[#This Row],[DATE]],ROW()-ROW(ListeCours[[#Headers],[UNIQUE]]),"")</f>
        <v/>
      </c>
    </row>
    <row r="187" spans="1:17" ht="24" hidden="1" customHeight="1" x14ac:dyDescent="0.25">
      <c r="A187" s="61"/>
      <c r="B187" s="60"/>
      <c r="C187" s="59"/>
      <c r="D187" s="60"/>
      <c r="E187" s="62"/>
      <c r="F187" s="62"/>
      <c r="G187" s="114" t="str">
        <f>IF(ListeCours[[#This Row],[DATE]],ListeCours[[#This Row],[HEURE DE FIN]]-ListeCours[[#This Row],[HEURE DE DÉBUT]],"")</f>
        <v/>
      </c>
      <c r="H187" s="63"/>
      <c r="I187" s="63"/>
      <c r="J187" s="117" t="str">
        <f>IF(ListeCours[[#This Row],[DATE]],A187&amp;"_"&amp;COUNTIF($A$3:A187,A187),"")</f>
        <v/>
      </c>
      <c r="K187" s="118" t="str">
        <f>IF(ListeCours[[#This Row],[DATE]],D187&amp;"_"&amp;COUNTIF($D$3:D187,D187),"")</f>
        <v/>
      </c>
      <c r="L187" s="109" t="str">
        <f>IF(ListeCours[[#This Row],[DATE]],MONTH(ListeCours[[#This Row],[DATE]]),"")</f>
        <v/>
      </c>
      <c r="M187" s="107" t="str">
        <f>IF(ListeCours[[#This Row],[DATE]],COUNTIF($L$3:L187,L187),"")</f>
        <v/>
      </c>
      <c r="N187" s="109" t="str">
        <f>IF(ListeCours[[#This Row],[DATE]],YEAR(ListeCours[[#This Row],[DATE]]),"")</f>
        <v/>
      </c>
      <c r="O187" s="109" t="str">
        <f>IF(ListeCours[[#This Row],[DATE]],CONCATENATE(ListeCours[[#This Row],[mois]],".",ListeCours[[#This Row],[freq.mois]],".",ListeCours[[#This Row],[année]]),"")</f>
        <v/>
      </c>
      <c r="P187" s="109" t="str">
        <f>IFERROR(VLOOKUP(ListeCours[[#This Row],[FORMATEUR]],tables!$G$20:$H$54,2,0),"")</f>
        <v/>
      </c>
      <c r="Q187" s="110" t="str">
        <f>IF(ListeCours[[#This Row],[DATE]],ROW()-ROW(ListeCours[[#Headers],[UNIQUE]]),"")</f>
        <v/>
      </c>
    </row>
    <row r="188" spans="1:17" ht="24" hidden="1" customHeight="1" x14ac:dyDescent="0.25">
      <c r="A188" s="61"/>
      <c r="B188" s="60"/>
      <c r="C188" s="59"/>
      <c r="D188" s="60"/>
      <c r="E188" s="62"/>
      <c r="F188" s="62"/>
      <c r="G188" s="114" t="str">
        <f>IF(ListeCours[[#This Row],[DATE]],ListeCours[[#This Row],[HEURE DE FIN]]-ListeCours[[#This Row],[HEURE DE DÉBUT]],"")</f>
        <v/>
      </c>
      <c r="H188" s="63"/>
      <c r="I188" s="63"/>
      <c r="J188" s="117" t="str">
        <f>IF(ListeCours[[#This Row],[DATE]],A188&amp;"_"&amp;COUNTIF($A$3:A188,A188),"")</f>
        <v/>
      </c>
      <c r="K188" s="118" t="str">
        <f>IF(ListeCours[[#This Row],[DATE]],D188&amp;"_"&amp;COUNTIF($D$3:D188,D188),"")</f>
        <v/>
      </c>
      <c r="L188" s="109" t="str">
        <f>IF(ListeCours[[#This Row],[DATE]],MONTH(ListeCours[[#This Row],[DATE]]),"")</f>
        <v/>
      </c>
      <c r="M188" s="107" t="str">
        <f>IF(ListeCours[[#This Row],[DATE]],COUNTIF($L$3:L188,L188),"")</f>
        <v/>
      </c>
      <c r="N188" s="109" t="str">
        <f>IF(ListeCours[[#This Row],[DATE]],YEAR(ListeCours[[#This Row],[DATE]]),"")</f>
        <v/>
      </c>
      <c r="O188" s="109" t="str">
        <f>IF(ListeCours[[#This Row],[DATE]],CONCATENATE(ListeCours[[#This Row],[mois]],".",ListeCours[[#This Row],[freq.mois]],".",ListeCours[[#This Row],[année]]),"")</f>
        <v/>
      </c>
      <c r="P188" s="109" t="str">
        <f>IFERROR(VLOOKUP(ListeCours[[#This Row],[FORMATEUR]],tables!$G$20:$H$54,2,0),"")</f>
        <v/>
      </c>
      <c r="Q188" s="110" t="str">
        <f>IF(ListeCours[[#This Row],[DATE]],ROW()-ROW(ListeCours[[#Headers],[UNIQUE]]),"")</f>
        <v/>
      </c>
    </row>
    <row r="189" spans="1:17" ht="24" hidden="1" customHeight="1" x14ac:dyDescent="0.25">
      <c r="A189" s="61"/>
      <c r="B189" s="60"/>
      <c r="C189" s="59"/>
      <c r="D189" s="60"/>
      <c r="E189" s="62"/>
      <c r="F189" s="62"/>
      <c r="G189" s="114" t="str">
        <f>IF(ListeCours[[#This Row],[DATE]],ListeCours[[#This Row],[HEURE DE FIN]]-ListeCours[[#This Row],[HEURE DE DÉBUT]],"")</f>
        <v/>
      </c>
      <c r="H189" s="63"/>
      <c r="I189" s="63"/>
      <c r="J189" s="117" t="str">
        <f>IF(ListeCours[[#This Row],[DATE]],A189&amp;"_"&amp;COUNTIF($A$3:A189,A189),"")</f>
        <v/>
      </c>
      <c r="K189" s="118" t="str">
        <f>IF(ListeCours[[#This Row],[DATE]],D189&amp;"_"&amp;COUNTIF($D$3:D189,D189),"")</f>
        <v/>
      </c>
      <c r="L189" s="109" t="str">
        <f>IF(ListeCours[[#This Row],[DATE]],MONTH(ListeCours[[#This Row],[DATE]]),"")</f>
        <v/>
      </c>
      <c r="M189" s="107" t="str">
        <f>IF(ListeCours[[#This Row],[DATE]],COUNTIF($L$3:L189,L189),"")</f>
        <v/>
      </c>
      <c r="N189" s="109" t="str">
        <f>IF(ListeCours[[#This Row],[DATE]],YEAR(ListeCours[[#This Row],[DATE]]),"")</f>
        <v/>
      </c>
      <c r="O189" s="109" t="str">
        <f>IF(ListeCours[[#This Row],[DATE]],CONCATENATE(ListeCours[[#This Row],[mois]],".",ListeCours[[#This Row],[freq.mois]],".",ListeCours[[#This Row],[année]]),"")</f>
        <v/>
      </c>
      <c r="P189" s="109" t="str">
        <f>IFERROR(VLOOKUP(ListeCours[[#This Row],[FORMATEUR]],tables!$G$20:$H$54,2,0),"")</f>
        <v/>
      </c>
      <c r="Q189" s="110" t="str">
        <f>IF(ListeCours[[#This Row],[DATE]],ROW()-ROW(ListeCours[[#Headers],[UNIQUE]]),"")</f>
        <v/>
      </c>
    </row>
    <row r="190" spans="1:17" ht="24" hidden="1" customHeight="1" x14ac:dyDescent="0.25">
      <c r="A190" s="61"/>
      <c r="B190" s="60"/>
      <c r="C190" s="59"/>
      <c r="D190" s="60"/>
      <c r="E190" s="62"/>
      <c r="F190" s="62"/>
      <c r="G190" s="114" t="str">
        <f>IF(ListeCours[[#This Row],[DATE]],ListeCours[[#This Row],[HEURE DE FIN]]-ListeCours[[#This Row],[HEURE DE DÉBUT]],"")</f>
        <v/>
      </c>
      <c r="H190" s="63"/>
      <c r="I190" s="63"/>
      <c r="J190" s="117" t="str">
        <f>IF(ListeCours[[#This Row],[DATE]],A190&amp;"_"&amp;COUNTIF($A$3:A190,A190),"")</f>
        <v/>
      </c>
      <c r="K190" s="118" t="str">
        <f>IF(ListeCours[[#This Row],[DATE]],D190&amp;"_"&amp;COUNTIF($D$3:D190,D190),"")</f>
        <v/>
      </c>
      <c r="L190" s="109" t="str">
        <f>IF(ListeCours[[#This Row],[DATE]],MONTH(ListeCours[[#This Row],[DATE]]),"")</f>
        <v/>
      </c>
      <c r="M190" s="107" t="str">
        <f>IF(ListeCours[[#This Row],[DATE]],COUNTIF($L$3:L190,L190),"")</f>
        <v/>
      </c>
      <c r="N190" s="109" t="str">
        <f>IF(ListeCours[[#This Row],[DATE]],YEAR(ListeCours[[#This Row],[DATE]]),"")</f>
        <v/>
      </c>
      <c r="O190" s="109" t="str">
        <f>IF(ListeCours[[#This Row],[DATE]],CONCATENATE(ListeCours[[#This Row],[mois]],".",ListeCours[[#This Row],[freq.mois]],".",ListeCours[[#This Row],[année]]),"")</f>
        <v/>
      </c>
      <c r="P190" s="109" t="str">
        <f>IFERROR(VLOOKUP(ListeCours[[#This Row],[FORMATEUR]],tables!$G$20:$H$54,2,0),"")</f>
        <v/>
      </c>
      <c r="Q190" s="110" t="str">
        <f>IF(ListeCours[[#This Row],[DATE]],ROW()-ROW(ListeCours[[#Headers],[UNIQUE]]),"")</f>
        <v/>
      </c>
    </row>
    <row r="191" spans="1:17" ht="24" hidden="1" customHeight="1" x14ac:dyDescent="0.25">
      <c r="A191" s="61"/>
      <c r="B191" s="60"/>
      <c r="C191" s="59"/>
      <c r="D191" s="60"/>
      <c r="E191" s="62"/>
      <c r="F191" s="62"/>
      <c r="G191" s="114" t="str">
        <f>IF(ListeCours[[#This Row],[DATE]],ListeCours[[#This Row],[HEURE DE FIN]]-ListeCours[[#This Row],[HEURE DE DÉBUT]],"")</f>
        <v/>
      </c>
      <c r="H191" s="63"/>
      <c r="I191" s="63"/>
      <c r="J191" s="117" t="str">
        <f>IF(ListeCours[[#This Row],[DATE]],A191&amp;"_"&amp;COUNTIF($A$3:A191,A191),"")</f>
        <v/>
      </c>
      <c r="K191" s="118" t="str">
        <f>IF(ListeCours[[#This Row],[DATE]],D191&amp;"_"&amp;COUNTIF($D$3:D191,D191),"")</f>
        <v/>
      </c>
      <c r="L191" s="109" t="str">
        <f>IF(ListeCours[[#This Row],[DATE]],MONTH(ListeCours[[#This Row],[DATE]]),"")</f>
        <v/>
      </c>
      <c r="M191" s="107" t="str">
        <f>IF(ListeCours[[#This Row],[DATE]],COUNTIF($L$3:L191,L191),"")</f>
        <v/>
      </c>
      <c r="N191" s="109" t="str">
        <f>IF(ListeCours[[#This Row],[DATE]],YEAR(ListeCours[[#This Row],[DATE]]),"")</f>
        <v/>
      </c>
      <c r="O191" s="109" t="str">
        <f>IF(ListeCours[[#This Row],[DATE]],CONCATENATE(ListeCours[[#This Row],[mois]],".",ListeCours[[#This Row],[freq.mois]],".",ListeCours[[#This Row],[année]]),"")</f>
        <v/>
      </c>
      <c r="P191" s="109" t="str">
        <f>IFERROR(VLOOKUP(ListeCours[[#This Row],[FORMATEUR]],tables!$G$20:$H$54,2,0),"")</f>
        <v/>
      </c>
      <c r="Q191" s="110" t="str">
        <f>IF(ListeCours[[#This Row],[DATE]],ROW()-ROW(ListeCours[[#Headers],[UNIQUE]]),"")</f>
        <v/>
      </c>
    </row>
    <row r="192" spans="1:17" ht="24" hidden="1" customHeight="1" x14ac:dyDescent="0.25">
      <c r="A192" s="61"/>
      <c r="B192" s="60"/>
      <c r="C192" s="59"/>
      <c r="D192" s="60"/>
      <c r="E192" s="62"/>
      <c r="F192" s="62"/>
      <c r="G192" s="114" t="str">
        <f>IF(ListeCours[[#This Row],[DATE]],ListeCours[[#This Row],[HEURE DE FIN]]-ListeCours[[#This Row],[HEURE DE DÉBUT]],"")</f>
        <v/>
      </c>
      <c r="H192" s="63"/>
      <c r="I192" s="63"/>
      <c r="J192" s="117" t="str">
        <f>IF(ListeCours[[#This Row],[DATE]],A192&amp;"_"&amp;COUNTIF($A$3:A192,A192),"")</f>
        <v/>
      </c>
      <c r="K192" s="118" t="str">
        <f>IF(ListeCours[[#This Row],[DATE]],D192&amp;"_"&amp;COUNTIF($D$3:D192,D192),"")</f>
        <v/>
      </c>
      <c r="L192" s="109" t="str">
        <f>IF(ListeCours[[#This Row],[DATE]],MONTH(ListeCours[[#This Row],[DATE]]),"")</f>
        <v/>
      </c>
      <c r="M192" s="107" t="str">
        <f>IF(ListeCours[[#This Row],[DATE]],COUNTIF($L$3:L192,L192),"")</f>
        <v/>
      </c>
      <c r="N192" s="109" t="str">
        <f>IF(ListeCours[[#This Row],[DATE]],YEAR(ListeCours[[#This Row],[DATE]]),"")</f>
        <v/>
      </c>
      <c r="O192" s="109" t="str">
        <f>IF(ListeCours[[#This Row],[DATE]],CONCATENATE(ListeCours[[#This Row],[mois]],".",ListeCours[[#This Row],[freq.mois]],".",ListeCours[[#This Row],[année]]),"")</f>
        <v/>
      </c>
      <c r="P192" s="109" t="str">
        <f>IFERROR(VLOOKUP(ListeCours[[#This Row],[FORMATEUR]],tables!$G$20:$H$54,2,0),"")</f>
        <v/>
      </c>
      <c r="Q192" s="110" t="str">
        <f>IF(ListeCours[[#This Row],[DATE]],ROW()-ROW(ListeCours[[#Headers],[UNIQUE]]),"")</f>
        <v/>
      </c>
    </row>
    <row r="193" spans="1:17" ht="24" hidden="1" customHeight="1" x14ac:dyDescent="0.25">
      <c r="A193" s="61"/>
      <c r="B193" s="60"/>
      <c r="C193" s="59"/>
      <c r="D193" s="60"/>
      <c r="E193" s="62"/>
      <c r="F193" s="62"/>
      <c r="G193" s="114" t="str">
        <f>IF(ListeCours[[#This Row],[DATE]],ListeCours[[#This Row],[HEURE DE FIN]]-ListeCours[[#This Row],[HEURE DE DÉBUT]],"")</f>
        <v/>
      </c>
      <c r="H193" s="63"/>
      <c r="I193" s="63"/>
      <c r="J193" s="117" t="str">
        <f>IF(ListeCours[[#This Row],[DATE]],A193&amp;"_"&amp;COUNTIF($A$3:A193,A193),"")</f>
        <v/>
      </c>
      <c r="K193" s="118" t="str">
        <f>IF(ListeCours[[#This Row],[DATE]],D193&amp;"_"&amp;COUNTIF($D$3:D193,D193),"")</f>
        <v/>
      </c>
      <c r="L193" s="109" t="str">
        <f>IF(ListeCours[[#This Row],[DATE]],MONTH(ListeCours[[#This Row],[DATE]]),"")</f>
        <v/>
      </c>
      <c r="M193" s="107" t="str">
        <f>IF(ListeCours[[#This Row],[DATE]],COUNTIF($L$3:L193,L193),"")</f>
        <v/>
      </c>
      <c r="N193" s="109" t="str">
        <f>IF(ListeCours[[#This Row],[DATE]],YEAR(ListeCours[[#This Row],[DATE]]),"")</f>
        <v/>
      </c>
      <c r="O193" s="109" t="str">
        <f>IF(ListeCours[[#This Row],[DATE]],CONCATENATE(ListeCours[[#This Row],[mois]],".",ListeCours[[#This Row],[freq.mois]],".",ListeCours[[#This Row],[année]]),"")</f>
        <v/>
      </c>
      <c r="P193" s="109" t="str">
        <f>IFERROR(VLOOKUP(ListeCours[[#This Row],[FORMATEUR]],tables!$G$20:$H$54,2,0),"")</f>
        <v/>
      </c>
      <c r="Q193" s="110" t="str">
        <f>IF(ListeCours[[#This Row],[DATE]],ROW()-ROW(ListeCours[[#Headers],[UNIQUE]]),"")</f>
        <v/>
      </c>
    </row>
    <row r="194" spans="1:17" ht="24" hidden="1" customHeight="1" x14ac:dyDescent="0.25">
      <c r="A194" s="61"/>
      <c r="B194" s="60"/>
      <c r="C194" s="59"/>
      <c r="D194" s="60"/>
      <c r="E194" s="62"/>
      <c r="F194" s="62"/>
      <c r="G194" s="114" t="str">
        <f>IF(ListeCours[[#This Row],[DATE]],ListeCours[[#This Row],[HEURE DE FIN]]-ListeCours[[#This Row],[HEURE DE DÉBUT]],"")</f>
        <v/>
      </c>
      <c r="H194" s="63"/>
      <c r="I194" s="63"/>
      <c r="J194" s="117" t="str">
        <f>IF(ListeCours[[#This Row],[DATE]],A194&amp;"_"&amp;COUNTIF($A$3:A194,A194),"")</f>
        <v/>
      </c>
      <c r="K194" s="118" t="str">
        <f>IF(ListeCours[[#This Row],[DATE]],D194&amp;"_"&amp;COUNTIF($D$3:D194,D194),"")</f>
        <v/>
      </c>
      <c r="L194" s="109" t="str">
        <f>IF(ListeCours[[#This Row],[DATE]],MONTH(ListeCours[[#This Row],[DATE]]),"")</f>
        <v/>
      </c>
      <c r="M194" s="107" t="str">
        <f>IF(ListeCours[[#This Row],[DATE]],COUNTIF($L$3:L194,L194),"")</f>
        <v/>
      </c>
      <c r="N194" s="109" t="str">
        <f>IF(ListeCours[[#This Row],[DATE]],YEAR(ListeCours[[#This Row],[DATE]]),"")</f>
        <v/>
      </c>
      <c r="O194" s="109" t="str">
        <f>IF(ListeCours[[#This Row],[DATE]],CONCATENATE(ListeCours[[#This Row],[mois]],".",ListeCours[[#This Row],[freq.mois]],".",ListeCours[[#This Row],[année]]),"")</f>
        <v/>
      </c>
      <c r="P194" s="109" t="str">
        <f>IFERROR(VLOOKUP(ListeCours[[#This Row],[FORMATEUR]],tables!$G$20:$H$54,2,0),"")</f>
        <v/>
      </c>
      <c r="Q194" s="110" t="str">
        <f>IF(ListeCours[[#This Row],[DATE]],ROW()-ROW(ListeCours[[#Headers],[UNIQUE]]),"")</f>
        <v/>
      </c>
    </row>
    <row r="195" spans="1:17" ht="24" hidden="1" customHeight="1" x14ac:dyDescent="0.25">
      <c r="A195" s="61"/>
      <c r="B195" s="60"/>
      <c r="C195" s="59"/>
      <c r="D195" s="60"/>
      <c r="E195" s="62"/>
      <c r="F195" s="62"/>
      <c r="G195" s="114" t="str">
        <f>IF(ListeCours[[#This Row],[DATE]],ListeCours[[#This Row],[HEURE DE FIN]]-ListeCours[[#This Row],[HEURE DE DÉBUT]],"")</f>
        <v/>
      </c>
      <c r="H195" s="63"/>
      <c r="I195" s="63"/>
      <c r="J195" s="117" t="str">
        <f>IF(ListeCours[[#This Row],[DATE]],A195&amp;"_"&amp;COUNTIF($A$3:A195,A195),"")</f>
        <v/>
      </c>
      <c r="K195" s="118" t="str">
        <f>IF(ListeCours[[#This Row],[DATE]],D195&amp;"_"&amp;COUNTIF($D$3:D195,D195),"")</f>
        <v/>
      </c>
      <c r="L195" s="109" t="str">
        <f>IF(ListeCours[[#This Row],[DATE]],MONTH(ListeCours[[#This Row],[DATE]]),"")</f>
        <v/>
      </c>
      <c r="M195" s="107" t="str">
        <f>IF(ListeCours[[#This Row],[DATE]],COUNTIF($L$3:L195,L195),"")</f>
        <v/>
      </c>
      <c r="N195" s="109" t="str">
        <f>IF(ListeCours[[#This Row],[DATE]],YEAR(ListeCours[[#This Row],[DATE]]),"")</f>
        <v/>
      </c>
      <c r="O195" s="109" t="str">
        <f>IF(ListeCours[[#This Row],[DATE]],CONCATENATE(ListeCours[[#This Row],[mois]],".",ListeCours[[#This Row],[freq.mois]],".",ListeCours[[#This Row],[année]]),"")</f>
        <v/>
      </c>
      <c r="P195" s="109" t="str">
        <f>IFERROR(VLOOKUP(ListeCours[[#This Row],[FORMATEUR]],tables!$G$20:$H$54,2,0),"")</f>
        <v/>
      </c>
      <c r="Q195" s="110" t="str">
        <f>IF(ListeCours[[#This Row],[DATE]],ROW()-ROW(ListeCours[[#Headers],[UNIQUE]]),"")</f>
        <v/>
      </c>
    </row>
    <row r="196" spans="1:17" ht="24" hidden="1" customHeight="1" x14ac:dyDescent="0.25">
      <c r="A196" s="61"/>
      <c r="B196" s="60"/>
      <c r="C196" s="59"/>
      <c r="D196" s="60"/>
      <c r="E196" s="62"/>
      <c r="F196" s="62"/>
      <c r="G196" s="114" t="str">
        <f>IF(ListeCours[[#This Row],[DATE]],ListeCours[[#This Row],[HEURE DE FIN]]-ListeCours[[#This Row],[HEURE DE DÉBUT]],"")</f>
        <v/>
      </c>
      <c r="H196" s="63"/>
      <c r="I196" s="63"/>
      <c r="J196" s="117" t="str">
        <f>IF(ListeCours[[#This Row],[DATE]],A196&amp;"_"&amp;COUNTIF($A$3:A196,A196),"")</f>
        <v/>
      </c>
      <c r="K196" s="118" t="str">
        <f>IF(ListeCours[[#This Row],[DATE]],D196&amp;"_"&amp;COUNTIF($D$3:D196,D196),"")</f>
        <v/>
      </c>
      <c r="L196" s="109" t="str">
        <f>IF(ListeCours[[#This Row],[DATE]],MONTH(ListeCours[[#This Row],[DATE]]),"")</f>
        <v/>
      </c>
      <c r="M196" s="107" t="str">
        <f>IF(ListeCours[[#This Row],[DATE]],COUNTIF($L$3:L196,L196),"")</f>
        <v/>
      </c>
      <c r="N196" s="109" t="str">
        <f>IF(ListeCours[[#This Row],[DATE]],YEAR(ListeCours[[#This Row],[DATE]]),"")</f>
        <v/>
      </c>
      <c r="O196" s="109" t="str">
        <f>IF(ListeCours[[#This Row],[DATE]],CONCATENATE(ListeCours[[#This Row],[mois]],".",ListeCours[[#This Row],[freq.mois]],".",ListeCours[[#This Row],[année]]),"")</f>
        <v/>
      </c>
      <c r="P196" s="109" t="str">
        <f>IFERROR(VLOOKUP(ListeCours[[#This Row],[FORMATEUR]],tables!$G$20:$H$54,2,0),"")</f>
        <v/>
      </c>
      <c r="Q196" s="110" t="str">
        <f>IF(ListeCours[[#This Row],[DATE]],ROW()-ROW(ListeCours[[#Headers],[UNIQUE]]),"")</f>
        <v/>
      </c>
    </row>
    <row r="197" spans="1:17" ht="24" hidden="1" customHeight="1" x14ac:dyDescent="0.25">
      <c r="A197" s="61"/>
      <c r="B197" s="60"/>
      <c r="C197" s="59"/>
      <c r="D197" s="60"/>
      <c r="E197" s="62"/>
      <c r="F197" s="62"/>
      <c r="G197" s="114" t="str">
        <f>IF(ListeCours[[#This Row],[DATE]],ListeCours[[#This Row],[HEURE DE FIN]]-ListeCours[[#This Row],[HEURE DE DÉBUT]],"")</f>
        <v/>
      </c>
      <c r="H197" s="63"/>
      <c r="I197" s="63"/>
      <c r="J197" s="117" t="str">
        <f>IF(ListeCours[[#This Row],[DATE]],A197&amp;"_"&amp;COUNTIF($A$3:A197,A197),"")</f>
        <v/>
      </c>
      <c r="K197" s="118" t="str">
        <f>IF(ListeCours[[#This Row],[DATE]],D197&amp;"_"&amp;COUNTIF($D$3:D197,D197),"")</f>
        <v/>
      </c>
      <c r="L197" s="109" t="str">
        <f>IF(ListeCours[[#This Row],[DATE]],MONTH(ListeCours[[#This Row],[DATE]]),"")</f>
        <v/>
      </c>
      <c r="M197" s="107" t="str">
        <f>IF(ListeCours[[#This Row],[DATE]],COUNTIF($L$3:L197,L197),"")</f>
        <v/>
      </c>
      <c r="N197" s="109" t="str">
        <f>IF(ListeCours[[#This Row],[DATE]],YEAR(ListeCours[[#This Row],[DATE]]),"")</f>
        <v/>
      </c>
      <c r="O197" s="109" t="str">
        <f>IF(ListeCours[[#This Row],[DATE]],CONCATENATE(ListeCours[[#This Row],[mois]],".",ListeCours[[#This Row],[freq.mois]],".",ListeCours[[#This Row],[année]]),"")</f>
        <v/>
      </c>
      <c r="P197" s="109" t="str">
        <f>IFERROR(VLOOKUP(ListeCours[[#This Row],[FORMATEUR]],tables!$G$20:$H$54,2,0),"")</f>
        <v/>
      </c>
      <c r="Q197" s="110" t="str">
        <f>IF(ListeCours[[#This Row],[DATE]],ROW()-ROW(ListeCours[[#Headers],[UNIQUE]]),"")</f>
        <v/>
      </c>
    </row>
    <row r="198" spans="1:17" ht="24" hidden="1" customHeight="1" x14ac:dyDescent="0.25">
      <c r="A198" s="61"/>
      <c r="B198" s="60"/>
      <c r="C198" s="59"/>
      <c r="D198" s="60"/>
      <c r="E198" s="62"/>
      <c r="F198" s="62"/>
      <c r="G198" s="114" t="str">
        <f>IF(ListeCours[[#This Row],[DATE]],ListeCours[[#This Row],[HEURE DE FIN]]-ListeCours[[#This Row],[HEURE DE DÉBUT]],"")</f>
        <v/>
      </c>
      <c r="H198" s="63"/>
      <c r="I198" s="63"/>
      <c r="J198" s="117" t="str">
        <f>IF(ListeCours[[#This Row],[DATE]],A198&amp;"_"&amp;COUNTIF($A$3:A198,A198),"")</f>
        <v/>
      </c>
      <c r="K198" s="118" t="str">
        <f>IF(ListeCours[[#This Row],[DATE]],D198&amp;"_"&amp;COUNTIF($D$3:D198,D198),"")</f>
        <v/>
      </c>
      <c r="L198" s="109" t="str">
        <f>IF(ListeCours[[#This Row],[DATE]],MONTH(ListeCours[[#This Row],[DATE]]),"")</f>
        <v/>
      </c>
      <c r="M198" s="107" t="str">
        <f>IF(ListeCours[[#This Row],[DATE]],COUNTIF($L$3:L198,L198),"")</f>
        <v/>
      </c>
      <c r="N198" s="109" t="str">
        <f>IF(ListeCours[[#This Row],[DATE]],YEAR(ListeCours[[#This Row],[DATE]]),"")</f>
        <v/>
      </c>
      <c r="O198" s="109" t="str">
        <f>IF(ListeCours[[#This Row],[DATE]],CONCATENATE(ListeCours[[#This Row],[mois]],".",ListeCours[[#This Row],[freq.mois]],".",ListeCours[[#This Row],[année]]),"")</f>
        <v/>
      </c>
      <c r="P198" s="109" t="str">
        <f>IFERROR(VLOOKUP(ListeCours[[#This Row],[FORMATEUR]],tables!$G$20:$H$54,2,0),"")</f>
        <v/>
      </c>
      <c r="Q198" s="110" t="str">
        <f>IF(ListeCours[[#This Row],[DATE]],ROW()-ROW(ListeCours[[#Headers],[UNIQUE]]),"")</f>
        <v/>
      </c>
    </row>
    <row r="199" spans="1:17" ht="24" hidden="1" customHeight="1" x14ac:dyDescent="0.25">
      <c r="A199" s="61"/>
      <c r="B199" s="60"/>
      <c r="C199" s="59"/>
      <c r="D199" s="60"/>
      <c r="E199" s="62"/>
      <c r="F199" s="62"/>
      <c r="G199" s="114" t="str">
        <f>IF(ListeCours[[#This Row],[DATE]],ListeCours[[#This Row],[HEURE DE FIN]]-ListeCours[[#This Row],[HEURE DE DÉBUT]],"")</f>
        <v/>
      </c>
      <c r="H199" s="63"/>
      <c r="I199" s="63"/>
      <c r="J199" s="117" t="str">
        <f>IF(ListeCours[[#This Row],[DATE]],A199&amp;"_"&amp;COUNTIF($A$3:A199,A199),"")</f>
        <v/>
      </c>
      <c r="K199" s="118" t="str">
        <f>IF(ListeCours[[#This Row],[DATE]],D199&amp;"_"&amp;COUNTIF($D$3:D199,D199),"")</f>
        <v/>
      </c>
      <c r="L199" s="109" t="str">
        <f>IF(ListeCours[[#This Row],[DATE]],MONTH(ListeCours[[#This Row],[DATE]]),"")</f>
        <v/>
      </c>
      <c r="M199" s="107" t="str">
        <f>IF(ListeCours[[#This Row],[DATE]],COUNTIF($L$3:L199,L199),"")</f>
        <v/>
      </c>
      <c r="N199" s="109" t="str">
        <f>IF(ListeCours[[#This Row],[DATE]],YEAR(ListeCours[[#This Row],[DATE]]),"")</f>
        <v/>
      </c>
      <c r="O199" s="109" t="str">
        <f>IF(ListeCours[[#This Row],[DATE]],CONCATENATE(ListeCours[[#This Row],[mois]],".",ListeCours[[#This Row],[freq.mois]],".",ListeCours[[#This Row],[année]]),"")</f>
        <v/>
      </c>
      <c r="P199" s="109" t="str">
        <f>IFERROR(VLOOKUP(ListeCours[[#This Row],[FORMATEUR]],tables!$G$20:$H$54,2,0),"")</f>
        <v/>
      </c>
      <c r="Q199" s="110" t="str">
        <f>IF(ListeCours[[#This Row],[DATE]],ROW()-ROW(ListeCours[[#Headers],[UNIQUE]]),"")</f>
        <v/>
      </c>
    </row>
    <row r="200" spans="1:17" ht="24" hidden="1" customHeight="1" x14ac:dyDescent="0.25">
      <c r="A200" s="61"/>
      <c r="B200" s="60"/>
      <c r="C200" s="59"/>
      <c r="D200" s="60"/>
      <c r="E200" s="62"/>
      <c r="F200" s="62"/>
      <c r="G200" s="114" t="str">
        <f>IF(ListeCours[[#This Row],[DATE]],ListeCours[[#This Row],[HEURE DE FIN]]-ListeCours[[#This Row],[HEURE DE DÉBUT]],"")</f>
        <v/>
      </c>
      <c r="H200" s="63"/>
      <c r="I200" s="63"/>
      <c r="J200" s="117" t="str">
        <f>IF(ListeCours[[#This Row],[DATE]],A200&amp;"_"&amp;COUNTIF($A$3:A200,A200),"")</f>
        <v/>
      </c>
      <c r="K200" s="118" t="str">
        <f>IF(ListeCours[[#This Row],[DATE]],D200&amp;"_"&amp;COUNTIF($D$3:D200,D200),"")</f>
        <v/>
      </c>
      <c r="L200" s="109" t="str">
        <f>IF(ListeCours[[#This Row],[DATE]],MONTH(ListeCours[[#This Row],[DATE]]),"")</f>
        <v/>
      </c>
      <c r="M200" s="107" t="str">
        <f>IF(ListeCours[[#This Row],[DATE]],COUNTIF($L$3:L200,L200),"")</f>
        <v/>
      </c>
      <c r="N200" s="109" t="str">
        <f>IF(ListeCours[[#This Row],[DATE]],YEAR(ListeCours[[#This Row],[DATE]]),"")</f>
        <v/>
      </c>
      <c r="O200" s="109" t="str">
        <f>IF(ListeCours[[#This Row],[DATE]],CONCATENATE(ListeCours[[#This Row],[mois]],".",ListeCours[[#This Row],[freq.mois]],".",ListeCours[[#This Row],[année]]),"")</f>
        <v/>
      </c>
      <c r="P200" s="109" t="str">
        <f>IFERROR(VLOOKUP(ListeCours[[#This Row],[FORMATEUR]],tables!$G$20:$H$54,2,0),"")</f>
        <v/>
      </c>
      <c r="Q200" s="110" t="str">
        <f>IF(ListeCours[[#This Row],[DATE]],ROW()-ROW(ListeCours[[#Headers],[UNIQUE]]),"")</f>
        <v/>
      </c>
    </row>
    <row r="201" spans="1:17" ht="24" hidden="1" customHeight="1" x14ac:dyDescent="0.25">
      <c r="A201" s="61"/>
      <c r="B201" s="60"/>
      <c r="C201" s="59"/>
      <c r="D201" s="60"/>
      <c r="E201" s="62"/>
      <c r="F201" s="62"/>
      <c r="G201" s="114" t="str">
        <f>IF(ListeCours[[#This Row],[DATE]],ListeCours[[#This Row],[HEURE DE FIN]]-ListeCours[[#This Row],[HEURE DE DÉBUT]],"")</f>
        <v/>
      </c>
      <c r="H201" s="63"/>
      <c r="I201" s="63"/>
      <c r="J201" s="117" t="str">
        <f>IF(ListeCours[[#This Row],[DATE]],A201&amp;"_"&amp;COUNTIF($A$3:A201,A201),"")</f>
        <v/>
      </c>
      <c r="K201" s="118" t="str">
        <f>IF(ListeCours[[#This Row],[DATE]],D201&amp;"_"&amp;COUNTIF($D$3:D201,D201),"")</f>
        <v/>
      </c>
      <c r="L201" s="109" t="str">
        <f>IF(ListeCours[[#This Row],[DATE]],MONTH(ListeCours[[#This Row],[DATE]]),"")</f>
        <v/>
      </c>
      <c r="M201" s="107" t="str">
        <f>IF(ListeCours[[#This Row],[DATE]],COUNTIF($L$3:L201,L201),"")</f>
        <v/>
      </c>
      <c r="N201" s="109" t="str">
        <f>IF(ListeCours[[#This Row],[DATE]],YEAR(ListeCours[[#This Row],[DATE]]),"")</f>
        <v/>
      </c>
      <c r="O201" s="109" t="str">
        <f>IF(ListeCours[[#This Row],[DATE]],CONCATENATE(ListeCours[[#This Row],[mois]],".",ListeCours[[#This Row],[freq.mois]],".",ListeCours[[#This Row],[année]]),"")</f>
        <v/>
      </c>
      <c r="P201" s="109" t="str">
        <f>IFERROR(VLOOKUP(ListeCours[[#This Row],[FORMATEUR]],tables!$G$20:$H$54,2,0),"")</f>
        <v/>
      </c>
      <c r="Q201" s="110" t="str">
        <f>IF(ListeCours[[#This Row],[DATE]],ROW()-ROW(ListeCours[[#Headers],[UNIQUE]]),"")</f>
        <v/>
      </c>
    </row>
    <row r="202" spans="1:17" ht="24" hidden="1" customHeight="1" x14ac:dyDescent="0.25">
      <c r="A202" s="61"/>
      <c r="B202" s="60"/>
      <c r="C202" s="59"/>
      <c r="D202" s="60"/>
      <c r="E202" s="62"/>
      <c r="F202" s="62"/>
      <c r="G202" s="114" t="str">
        <f>IF(ListeCours[[#This Row],[DATE]],ListeCours[[#This Row],[HEURE DE FIN]]-ListeCours[[#This Row],[HEURE DE DÉBUT]],"")</f>
        <v/>
      </c>
      <c r="H202" s="63"/>
      <c r="I202" s="63"/>
      <c r="J202" s="117" t="str">
        <f>IF(ListeCours[[#This Row],[DATE]],A202&amp;"_"&amp;COUNTIF($A$3:A202,A202),"")</f>
        <v/>
      </c>
      <c r="K202" s="118" t="str">
        <f>IF(ListeCours[[#This Row],[DATE]],D202&amp;"_"&amp;COUNTIF($D$3:D202,D202),"")</f>
        <v/>
      </c>
      <c r="L202" s="109" t="str">
        <f>IF(ListeCours[[#This Row],[DATE]],MONTH(ListeCours[[#This Row],[DATE]]),"")</f>
        <v/>
      </c>
      <c r="M202" s="107" t="str">
        <f>IF(ListeCours[[#This Row],[DATE]],COUNTIF($L$3:L202,L202),"")</f>
        <v/>
      </c>
      <c r="N202" s="109" t="str">
        <f>IF(ListeCours[[#This Row],[DATE]],YEAR(ListeCours[[#This Row],[DATE]]),"")</f>
        <v/>
      </c>
      <c r="O202" s="109" t="str">
        <f>IF(ListeCours[[#This Row],[DATE]],CONCATENATE(ListeCours[[#This Row],[mois]],".",ListeCours[[#This Row],[freq.mois]],".",ListeCours[[#This Row],[année]]),"")</f>
        <v/>
      </c>
      <c r="P202" s="109" t="str">
        <f>IFERROR(VLOOKUP(ListeCours[[#This Row],[FORMATEUR]],tables!$G$20:$H$54,2,0),"")</f>
        <v/>
      </c>
      <c r="Q202" s="110" t="str">
        <f>IF(ListeCours[[#This Row],[DATE]],ROW()-ROW(ListeCours[[#Headers],[UNIQUE]]),"")</f>
        <v/>
      </c>
    </row>
    <row r="203" spans="1:17" ht="24" hidden="1" customHeight="1" x14ac:dyDescent="0.25">
      <c r="A203" s="61"/>
      <c r="B203" s="60"/>
      <c r="C203" s="59"/>
      <c r="D203" s="60"/>
      <c r="E203" s="62"/>
      <c r="F203" s="62"/>
      <c r="G203" s="114" t="str">
        <f>IF(ListeCours[[#This Row],[DATE]],ListeCours[[#This Row],[HEURE DE FIN]]-ListeCours[[#This Row],[HEURE DE DÉBUT]],"")</f>
        <v/>
      </c>
      <c r="H203" s="63"/>
      <c r="I203" s="63"/>
      <c r="J203" s="175" t="str">
        <f>IF(ListeCours[[#This Row],[DATE]],A203&amp;"_"&amp;COUNTIF($A$3:A206,A203),"")</f>
        <v/>
      </c>
      <c r="K203" s="176" t="str">
        <f>IF(ListeCours[[#This Row],[DATE]],D203&amp;"_"&amp;COUNTIF($D$3:D206,D203),"")</f>
        <v/>
      </c>
      <c r="L203" s="109" t="str">
        <f>IF(ListeCours[[#This Row],[DATE]],MONTH(ListeCours[[#This Row],[DATE]]),"")</f>
        <v/>
      </c>
      <c r="M203" s="177" t="str">
        <f>IF(ListeCours[[#This Row],[DATE]],COUNTIF($L$3:L206,L203),"")</f>
        <v/>
      </c>
      <c r="N203" s="109" t="str">
        <f>IF(ListeCours[[#This Row],[DATE]],YEAR(ListeCours[[#This Row],[DATE]]),"")</f>
        <v/>
      </c>
      <c r="O203" s="109" t="str">
        <f>IF(ListeCours[[#This Row],[DATE]],CONCATENATE(ListeCours[[#This Row],[mois]],".",ListeCours[[#This Row],[freq.mois]],".",ListeCours[[#This Row],[année]]),"")</f>
        <v/>
      </c>
      <c r="P203" s="109" t="str">
        <f>IFERROR(VLOOKUP(ListeCours[[#This Row],[FORMATEUR]],tables!$G$20:$H$54,2,0),"")</f>
        <v/>
      </c>
      <c r="Q203" s="110" t="str">
        <f>IF(ListeCours[[#This Row],[DATE]],ROW()-ROW(ListeCours[[#Headers],[UNIQUE]]),"")</f>
        <v/>
      </c>
    </row>
    <row r="204" spans="1:17" ht="24" customHeight="1" x14ac:dyDescent="0.25">
      <c r="A204" s="111"/>
      <c r="B204" s="111"/>
      <c r="C204" s="111"/>
      <c r="D204" s="111"/>
      <c r="E204" s="111"/>
      <c r="F204" s="112" t="s">
        <v>9</v>
      </c>
      <c r="G204" s="113">
        <f>SUM(ListeCours[VOL. HR])</f>
        <v>17.395833333333325</v>
      </c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</row>
  </sheetData>
  <sheetProtection selectLockedCells="1" sort="0" autoFilter="0"/>
  <mergeCells count="1">
    <mergeCell ref="A1:E1"/>
  </mergeCells>
  <dataValidations count="3">
    <dataValidation allowBlank="1" showInputMessage="1" showErrorMessage="1" prompt="Lien de navigation vers la feuille de calcul Emploi du temps" sqref="F1" xr:uid="{00000000-0002-0000-0000-000000000000}"/>
    <dataValidation allowBlank="1" showInputMessage="1" showErrorMessage="1" prompt="Lien de navigation vers la feuille de calcul Liste des cours" sqref="G1" xr:uid="{00000000-0002-0000-0000-000001000000}"/>
    <dataValidation type="list" sqref="D3:D203" xr:uid="{00000000-0002-0000-0000-000002000000}">
      <formula1>FORMATEURS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3000000}">
          <x14:formula1>
            <xm:f>tables!$B$19:$B$31</xm:f>
          </x14:formula1>
          <xm:sqref>A3:A203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54"/>
  <sheetViews>
    <sheetView showGridLines="0" tabSelected="1" workbookViewId="0">
      <pane xSplit="1" ySplit="17" topLeftCell="B35" activePane="bottomRight" state="frozen"/>
      <selection pane="topRight" activeCell="B1" sqref="B1"/>
      <selection pane="bottomLeft" activeCell="A18" sqref="A18"/>
      <selection pane="bottomRight" activeCell="F48" sqref="F48"/>
    </sheetView>
  </sheetViews>
  <sheetFormatPr baseColWidth="10" defaultColWidth="4.5703125" defaultRowHeight="15" x14ac:dyDescent="0.25"/>
  <cols>
    <col min="1" max="1" width="2.85546875" style="29" customWidth="1"/>
    <col min="2" max="2" width="7.140625" customWidth="1"/>
    <col min="3" max="9" width="5.7109375" customWidth="1"/>
    <col min="10" max="10" width="2" customWidth="1"/>
    <col min="11" max="11" width="7.140625" customWidth="1"/>
    <col min="12" max="18" width="5.7109375" customWidth="1"/>
    <col min="19" max="19" width="2.85546875" style="29" customWidth="1"/>
    <col min="20" max="20" width="7.140625" customWidth="1"/>
    <col min="21" max="27" width="5.7109375" customWidth="1"/>
    <col min="28" max="28" width="2" customWidth="1"/>
    <col min="29" max="29" width="7.140625" customWidth="1"/>
    <col min="30" max="36" width="5.7109375" customWidth="1"/>
    <col min="37" max="37" width="2.85546875" style="29" customWidth="1"/>
    <col min="38" max="38" width="7.140625" customWidth="1"/>
    <col min="39" max="45" width="5.7109375" customWidth="1"/>
    <col min="46" max="46" width="2" customWidth="1"/>
    <col min="47" max="47" width="7.140625" customWidth="1"/>
    <col min="48" max="54" width="5.7109375" customWidth="1"/>
  </cols>
  <sheetData>
    <row r="1" spans="1:54" ht="27" customHeight="1" x14ac:dyDescent="0.25">
      <c r="B1" s="190">
        <v>2023</v>
      </c>
      <c r="C1" s="190"/>
      <c r="D1" s="1" t="s">
        <v>214</v>
      </c>
      <c r="E1" s="2"/>
      <c r="F1" s="2"/>
      <c r="G1" s="2"/>
      <c r="H1" s="2"/>
      <c r="I1" s="2"/>
      <c r="P1" s="174" t="s">
        <v>362</v>
      </c>
      <c r="Q1" s="191">
        <v>45006</v>
      </c>
      <c r="R1" s="191"/>
      <c r="T1" s="189">
        <f>Année</f>
        <v>2023</v>
      </c>
      <c r="U1" s="189"/>
      <c r="V1" s="1"/>
      <c r="W1" s="2"/>
      <c r="X1" s="2"/>
      <c r="Y1" s="2"/>
      <c r="Z1" s="2"/>
      <c r="AA1" s="2"/>
      <c r="AH1" s="174" t="s">
        <v>362</v>
      </c>
      <c r="AI1" s="191">
        <v>45006</v>
      </c>
      <c r="AJ1" s="191"/>
      <c r="AL1" s="189">
        <f>Année</f>
        <v>2023</v>
      </c>
      <c r="AM1" s="189"/>
      <c r="AN1" s="1"/>
      <c r="AO1" s="2"/>
      <c r="AP1" s="2"/>
      <c r="AQ1" s="2"/>
      <c r="AR1" s="2"/>
      <c r="AS1" s="2"/>
      <c r="AZ1" s="174" t="s">
        <v>362</v>
      </c>
      <c r="BA1" s="191">
        <v>45006</v>
      </c>
      <c r="BB1" s="191"/>
    </row>
    <row r="2" spans="1:54" ht="16.5" customHeight="1" thickBot="1" x14ac:dyDescent="0.3">
      <c r="A2" s="8">
        <v>1</v>
      </c>
      <c r="B2" s="30" t="s">
        <v>31</v>
      </c>
      <c r="C2" s="35" t="s">
        <v>191</v>
      </c>
      <c r="D2" s="35" t="s">
        <v>192</v>
      </c>
      <c r="E2" s="35" t="s">
        <v>193</v>
      </c>
      <c r="F2" s="35" t="s">
        <v>194</v>
      </c>
      <c r="G2" s="35" t="s">
        <v>195</v>
      </c>
      <c r="H2" s="35" t="s">
        <v>196</v>
      </c>
      <c r="I2" s="35" t="s">
        <v>197</v>
      </c>
      <c r="K2" s="31" t="s">
        <v>30</v>
      </c>
      <c r="L2" s="35" t="s">
        <v>191</v>
      </c>
      <c r="M2" s="35" t="s">
        <v>192</v>
      </c>
      <c r="N2" s="35" t="s">
        <v>193</v>
      </c>
      <c r="O2" s="35" t="s">
        <v>194</v>
      </c>
      <c r="P2" s="35" t="s">
        <v>195</v>
      </c>
      <c r="Q2" s="35" t="s">
        <v>196</v>
      </c>
      <c r="R2" s="35" t="s">
        <v>197</v>
      </c>
      <c r="S2" s="8">
        <v>1</v>
      </c>
      <c r="T2" s="30" t="s">
        <v>210</v>
      </c>
      <c r="U2" s="35" t="s">
        <v>191</v>
      </c>
      <c r="V2" s="35" t="s">
        <v>192</v>
      </c>
      <c r="W2" s="35" t="s">
        <v>193</v>
      </c>
      <c r="X2" s="35" t="s">
        <v>194</v>
      </c>
      <c r="Y2" s="35" t="s">
        <v>195</v>
      </c>
      <c r="Z2" s="35" t="s">
        <v>196</v>
      </c>
      <c r="AA2" s="35" t="s">
        <v>197</v>
      </c>
      <c r="AC2" s="31" t="s">
        <v>211</v>
      </c>
      <c r="AD2" s="35" t="s">
        <v>191</v>
      </c>
      <c r="AE2" s="35" t="s">
        <v>192</v>
      </c>
      <c r="AF2" s="35" t="s">
        <v>193</v>
      </c>
      <c r="AG2" s="35" t="s">
        <v>194</v>
      </c>
      <c r="AH2" s="35" t="s">
        <v>195</v>
      </c>
      <c r="AI2" s="35" t="s">
        <v>196</v>
      </c>
      <c r="AJ2" s="35" t="s">
        <v>197</v>
      </c>
      <c r="AK2" s="8">
        <v>1</v>
      </c>
      <c r="AL2" s="30" t="s">
        <v>215</v>
      </c>
      <c r="AM2" s="35" t="s">
        <v>191</v>
      </c>
      <c r="AN2" s="35" t="s">
        <v>192</v>
      </c>
      <c r="AO2" s="35" t="s">
        <v>193</v>
      </c>
      <c r="AP2" s="35" t="s">
        <v>194</v>
      </c>
      <c r="AQ2" s="35" t="s">
        <v>195</v>
      </c>
      <c r="AR2" s="35" t="s">
        <v>196</v>
      </c>
      <c r="AS2" s="35" t="s">
        <v>197</v>
      </c>
      <c r="AU2" s="31" t="s">
        <v>216</v>
      </c>
      <c r="AV2" s="35" t="s">
        <v>191</v>
      </c>
      <c r="AW2" s="35" t="s">
        <v>192</v>
      </c>
      <c r="AX2" s="35" t="s">
        <v>193</v>
      </c>
      <c r="AY2" s="35" t="s">
        <v>194</v>
      </c>
      <c r="AZ2" s="35" t="s">
        <v>195</v>
      </c>
      <c r="BA2" s="35" t="s">
        <v>196</v>
      </c>
      <c r="BB2" s="35" t="s">
        <v>197</v>
      </c>
    </row>
    <row r="3" spans="1:54" ht="16.5" customHeight="1" thickTop="1" x14ac:dyDescent="0.25">
      <c r="B3" s="5" t="str">
        <f>CONCATENATE("s. ",_xlfn.ISOWEEKNUM(C3))</f>
        <v>s. 52</v>
      </c>
      <c r="C3" s="3">
        <f>IF(DAY(DimJanv1)=1,DimJanv1-6,DimJanv1+1)</f>
        <v>44921</v>
      </c>
      <c r="D3" s="3">
        <f>IF(DAY(DimJanv1)=1,DimJanv1-5,DimJanv1+2)</f>
        <v>44922</v>
      </c>
      <c r="E3" s="3">
        <f>IF(DAY(DimJanv1)=1,DimJanv1-4,DimJanv1+3)</f>
        <v>44923</v>
      </c>
      <c r="F3" s="3">
        <f>IF(DAY(DimJanv1)=1,DimJanv1-3,DimJanv1+4)</f>
        <v>44924</v>
      </c>
      <c r="G3" s="3">
        <f>IF(DAY(DimJanv1)=1,DimJanv1-2,DimJanv1+5)</f>
        <v>44925</v>
      </c>
      <c r="H3" s="3">
        <f>IF(DAY(DimJanv1)=1,DimJanv1-1,DimJanv1+6)</f>
        <v>44926</v>
      </c>
      <c r="I3" s="3">
        <f>IF(DAY(DimJanv1)=1,DimJanv1,DimJanv1+7)</f>
        <v>44927</v>
      </c>
      <c r="K3" s="5" t="str">
        <f>CONCATENATE("s. ",_xlfn.ISOWEEKNUM(L3))</f>
        <v>s. 5</v>
      </c>
      <c r="L3" s="3">
        <f>IF(DAY(DimFévr1)=1,DimFévr1-6,DimFévr1+1)</f>
        <v>44956</v>
      </c>
      <c r="M3" s="3">
        <f>IF(DAY(DimFévr1)=1,DimFévr1-5,DimFévr1+2)</f>
        <v>44957</v>
      </c>
      <c r="N3" s="3">
        <f>IF(DAY(DimFévr1)=1,DimFévr1-4,DimFévr1+3)</f>
        <v>44958</v>
      </c>
      <c r="O3" s="3">
        <f>IF(DAY(DimFévr1)=1,DimFévr1-3,DimFévr1+4)</f>
        <v>44959</v>
      </c>
      <c r="P3" s="3">
        <f>IF(DAY(DimFévr1)=1,DimFévr1-2,DimFévr1+5)</f>
        <v>44960</v>
      </c>
      <c r="Q3" s="3">
        <f>IF(DAY(DimFévr1)=1,DimFévr1-1,DimFévr1+6)</f>
        <v>44961</v>
      </c>
      <c r="R3" s="3">
        <f>IF(DAY(DimFévr1)=1,DimFévr1,DimFévr1+7)</f>
        <v>44962</v>
      </c>
      <c r="T3" s="5" t="str">
        <f>CONCATENATE("s. ",_xlfn.ISOWEEKNUM(U3))</f>
        <v>s. 18</v>
      </c>
      <c r="U3" s="3">
        <f>IF(DAY(DimMai1)=1,DimMai1-6,DimMai1+1)</f>
        <v>45047</v>
      </c>
      <c r="V3" s="3">
        <f>IF(DAY(DimMai1)=1,DimMai1-5,DimMai1+2)</f>
        <v>45048</v>
      </c>
      <c r="W3" s="3">
        <f>IF(DAY(DimMai1)=1,DimMai1-4,DimMai1+3)</f>
        <v>45049</v>
      </c>
      <c r="X3" s="3">
        <f>IF(DAY(DimMai1)=1,DimMai1-3,DimMai1+4)</f>
        <v>45050</v>
      </c>
      <c r="Y3" s="3">
        <f>IF(DAY(DimMai1)=1,DimMai1-2,DimMai1+5)</f>
        <v>45051</v>
      </c>
      <c r="Z3" s="3">
        <f>IF(DAY(DimMai1)=1,DimMai1-1,DimMai1+6)</f>
        <v>45052</v>
      </c>
      <c r="AA3" s="3">
        <f>IF(DAY(DimMai1)=1,DimMai1,DimMai1+7)</f>
        <v>45053</v>
      </c>
      <c r="AC3" s="5" t="str">
        <f>CONCATENATE("s. ",_xlfn.ISOWEEKNUM(AD3))</f>
        <v>s. 22</v>
      </c>
      <c r="AD3" s="3">
        <f>IF(DAY(DimJuin1)=1,DimJuin1-6,DimJuin1+1)</f>
        <v>45075</v>
      </c>
      <c r="AE3" s="3">
        <f>IF(DAY(DimJuin1)=1,DimJuin1-5,DimJuin1+2)</f>
        <v>45076</v>
      </c>
      <c r="AF3" s="3">
        <f>IF(DAY(DimJuin1)=1,DimJuin1-4,DimJuin1+3)</f>
        <v>45077</v>
      </c>
      <c r="AG3" s="3">
        <f>IF(DAY(DimJuin1)=1,DimJuin1-3,DimJuin1+4)</f>
        <v>45078</v>
      </c>
      <c r="AH3" s="3">
        <f>IF(DAY(DimJuin1)=1,DimJuin1-2,DimJuin1+5)</f>
        <v>45079</v>
      </c>
      <c r="AI3" s="3">
        <f>IF(DAY(DimJuin1)=1,DimJuin1-1,DimJuin1+6)</f>
        <v>45080</v>
      </c>
      <c r="AJ3" s="3">
        <f>IF(DAY(DimJuin1)=1,DimJuin1,DimJuin1+7)</f>
        <v>45081</v>
      </c>
      <c r="AL3" s="5" t="str">
        <f>CONCATENATE("s. ",_xlfn.ISOWEEKNUM(AM3))</f>
        <v>s. 35</v>
      </c>
      <c r="AM3" s="3">
        <f>IF(DAY(DimSept1)=1,DimSept1-6,DimSept1+1)</f>
        <v>45166</v>
      </c>
      <c r="AN3" s="3">
        <f>IF(DAY(DimSept1)=1,DimSept1-5,DimSept1+2)</f>
        <v>45167</v>
      </c>
      <c r="AO3" s="3">
        <f>IF(DAY(DimSept1)=1,DimSept1-4,DimSept1+3)</f>
        <v>45168</v>
      </c>
      <c r="AP3" s="3">
        <f>IF(DAY(DimSept1)=1,DimSept1-3,DimSept1+4)</f>
        <v>45169</v>
      </c>
      <c r="AQ3" s="3">
        <f>IF(DAY(DimSept1)=1,DimSept1-2,DimSept1+5)</f>
        <v>45170</v>
      </c>
      <c r="AR3" s="3">
        <f>IF(DAY(DimSept1)=1,DimSept1-1,DimSept1+6)</f>
        <v>45171</v>
      </c>
      <c r="AS3" s="3">
        <f>IF(DAY(DimSept1)=1,DimSept1,DimSept1+7)</f>
        <v>45172</v>
      </c>
      <c r="AU3" s="5" t="str">
        <f>CONCATENATE("s. ",_xlfn.ISOWEEKNUM(AV3))</f>
        <v>s. 39</v>
      </c>
      <c r="AV3" s="3">
        <f>IF(DAY(DimOct1)=1,DimOct1-6,DimOct1+1)</f>
        <v>45194</v>
      </c>
      <c r="AW3" s="3">
        <f>IF(DAY(DimOct1)=1,DimOct1-5,DimOct1+2)</f>
        <v>45195</v>
      </c>
      <c r="AX3" s="3">
        <f>IF(DAY(DimOct1)=1,DimOct1-4,DimOct1+3)</f>
        <v>45196</v>
      </c>
      <c r="AY3" s="3">
        <f>IF(DAY(DimOct1)=1,DimOct1-3,DimOct1+4)</f>
        <v>45197</v>
      </c>
      <c r="AZ3" s="3">
        <f>IF(DAY(DimOct1)=1,DimOct1-2,DimOct1+5)</f>
        <v>45198</v>
      </c>
      <c r="BA3" s="3">
        <f>IF(DAY(DimOct1)=1,DimOct1-1,DimOct1+6)</f>
        <v>45199</v>
      </c>
      <c r="BB3" s="3">
        <f>IF(DAY(DimOct1)=1,DimOct1,DimOct1+7)</f>
        <v>45200</v>
      </c>
    </row>
    <row r="4" spans="1:54" ht="16.5" customHeight="1" x14ac:dyDescent="0.25">
      <c r="B4" s="5" t="str">
        <f t="shared" ref="B4:B6" si="0">CONCATENATE("s. ",_xlfn.ISOWEEKNUM(C4))</f>
        <v>s. 1</v>
      </c>
      <c r="C4" s="3">
        <f>IF(DAY(DimJanv1)=1,DimJanv1+1,DimJanv1+8)</f>
        <v>44928</v>
      </c>
      <c r="D4" s="3">
        <f>IF(DAY(DimJanv1)=1,DimJanv1+2,DimJanv1+9)</f>
        <v>44929</v>
      </c>
      <c r="E4" s="3">
        <f>IF(DAY(DimJanv1)=1,DimJanv1+3,DimJanv1+10)</f>
        <v>44930</v>
      </c>
      <c r="F4" s="3">
        <f>IF(DAY(DimJanv1)=1,DimJanv1+4,DimJanv1+11)</f>
        <v>44931</v>
      </c>
      <c r="G4" s="3">
        <f>IF(DAY(DimJanv1)=1,DimJanv1+5,DimJanv1+12)</f>
        <v>44932</v>
      </c>
      <c r="H4" s="3">
        <f>IF(DAY(DimJanv1)=1,DimJanv1+6,DimJanv1+13)</f>
        <v>44933</v>
      </c>
      <c r="I4" s="3">
        <f>IF(DAY(DimJanv1)=1,DimJanv1+7,DimJanv1+14)</f>
        <v>44934</v>
      </c>
      <c r="K4" s="5" t="str">
        <f t="shared" ref="K4:K6" si="1">CONCATENATE("s. ",_xlfn.ISOWEEKNUM(L4))</f>
        <v>s. 6</v>
      </c>
      <c r="L4" s="3">
        <f>IF(DAY(DimFévr1)=1,DimFévr1+1,DimFévr1+8)</f>
        <v>44963</v>
      </c>
      <c r="M4" s="3">
        <f>IF(DAY(DimFévr1)=1,DimFévr1+2,DimFévr1+9)</f>
        <v>44964</v>
      </c>
      <c r="N4" s="3">
        <f>IF(DAY(DimFévr1)=1,DimFévr1+3,DimFévr1+10)</f>
        <v>44965</v>
      </c>
      <c r="O4" s="3">
        <f>IF(DAY(DimFévr1)=1,DimFévr1+4,DimFévr1+11)</f>
        <v>44966</v>
      </c>
      <c r="P4" s="3">
        <f>IF(DAY(DimFévr1)=1,DimFévr1+5,DimFévr1+12)</f>
        <v>44967</v>
      </c>
      <c r="Q4" s="3">
        <f>IF(DAY(DimFévr1)=1,DimFévr1+6,DimFévr1+13)</f>
        <v>44968</v>
      </c>
      <c r="R4" s="3">
        <f>IF(DAY(DimFévr1)=1,DimFévr1+7,DimFévr1+14)</f>
        <v>44969</v>
      </c>
      <c r="T4" s="5" t="str">
        <f t="shared" ref="T4:T6" si="2">CONCATENATE("s. ",_xlfn.ISOWEEKNUM(U4))</f>
        <v>s. 19</v>
      </c>
      <c r="U4" s="3">
        <f>IF(DAY(DimMai1)=1,DimMai1+1,DimMai1+8)</f>
        <v>45054</v>
      </c>
      <c r="V4" s="3">
        <f>IF(DAY(DimMai1)=1,DimMai1+2,DimMai1+9)</f>
        <v>45055</v>
      </c>
      <c r="W4" s="3">
        <f>IF(DAY(DimMai1)=1,DimMai1+3,DimMai1+10)</f>
        <v>45056</v>
      </c>
      <c r="X4" s="3">
        <f>IF(DAY(DimMai1)=1,DimMai1+4,DimMai1+11)</f>
        <v>45057</v>
      </c>
      <c r="Y4" s="3">
        <f>IF(DAY(DimMai1)=1,DimMai1+5,DimMai1+12)</f>
        <v>45058</v>
      </c>
      <c r="Z4" s="3">
        <f>IF(DAY(DimMai1)=1,DimMai1+6,DimMai1+13)</f>
        <v>45059</v>
      </c>
      <c r="AA4" s="3">
        <f>IF(DAY(DimMai1)=1,DimMai1+7,DimMai1+14)</f>
        <v>45060</v>
      </c>
      <c r="AC4" s="5" t="str">
        <f t="shared" ref="AC4:AC6" si="3">CONCATENATE("s. ",_xlfn.ISOWEEKNUM(AD4))</f>
        <v>s. 23</v>
      </c>
      <c r="AD4" s="3">
        <f>IF(DAY(DimJuin1)=1,DimJuin1+1,DimJuin1+8)</f>
        <v>45082</v>
      </c>
      <c r="AE4" s="3">
        <f>IF(DAY(DimJuin1)=1,DimJuin1+2,DimJuin1+9)</f>
        <v>45083</v>
      </c>
      <c r="AF4" s="3">
        <f>IF(DAY(DimJuin1)=1,DimJuin1+3,DimJuin1+10)</f>
        <v>45084</v>
      </c>
      <c r="AG4" s="3">
        <f>IF(DAY(DimJuin1)=1,DimJuin1+4,DimJuin1+11)</f>
        <v>45085</v>
      </c>
      <c r="AH4" s="3">
        <f>IF(DAY(DimJuin1)=1,DimJuin1+5,DimJuin1+12)</f>
        <v>45086</v>
      </c>
      <c r="AI4" s="3">
        <f>IF(DAY(DimJuin1)=1,DimJuin1+6,DimJuin1+13)</f>
        <v>45087</v>
      </c>
      <c r="AJ4" s="3">
        <f>IF(DAY(DimJuin1)=1,DimJuin1+7,DimJuin1+14)</f>
        <v>45088</v>
      </c>
      <c r="AL4" s="5" t="str">
        <f t="shared" ref="AL4:AL6" si="4">CONCATENATE("s. ",_xlfn.ISOWEEKNUM(AM4))</f>
        <v>s. 36</v>
      </c>
      <c r="AM4" s="3">
        <f>IF(DAY(DimSept1)=1,DimSept1+1,DimSept1+8)</f>
        <v>45173</v>
      </c>
      <c r="AN4" s="3">
        <f>IF(DAY(DimSept1)=1,DimSept1+2,DimSept1+9)</f>
        <v>45174</v>
      </c>
      <c r="AO4" s="3">
        <f>IF(DAY(DimSept1)=1,DimSept1+3,DimSept1+10)</f>
        <v>45175</v>
      </c>
      <c r="AP4" s="3">
        <f>IF(DAY(DimSept1)=1,DimSept1+4,DimSept1+11)</f>
        <v>45176</v>
      </c>
      <c r="AQ4" s="3">
        <f>IF(DAY(DimSept1)=1,DimSept1+5,DimSept1+12)</f>
        <v>45177</v>
      </c>
      <c r="AR4" s="3">
        <f>IF(DAY(DimSept1)=1,DimSept1+6,DimSept1+13)</f>
        <v>45178</v>
      </c>
      <c r="AS4" s="3">
        <f>IF(DAY(DimSept1)=1,DimSept1+7,DimSept1+14)</f>
        <v>45179</v>
      </c>
      <c r="AU4" s="5" t="str">
        <f t="shared" ref="AU4:AU6" si="5">CONCATENATE("s. ",_xlfn.ISOWEEKNUM(AV4))</f>
        <v>s. 40</v>
      </c>
      <c r="AV4" s="3">
        <f>IF(DAY(DimOct1)=1,DimOct1+1,DimOct1+8)</f>
        <v>45201</v>
      </c>
      <c r="AW4" s="3">
        <f>IF(DAY(DimOct1)=1,DimOct1+2,DimOct1+9)</f>
        <v>45202</v>
      </c>
      <c r="AX4" s="3">
        <f>IF(DAY(DimOct1)=1,DimOct1+3,DimOct1+10)</f>
        <v>45203</v>
      </c>
      <c r="AY4" s="3">
        <f>IF(DAY(DimOct1)=1,DimOct1+4,DimOct1+11)</f>
        <v>45204</v>
      </c>
      <c r="AZ4" s="3">
        <f>IF(DAY(DimOct1)=1,DimOct1+5,DimOct1+12)</f>
        <v>45205</v>
      </c>
      <c r="BA4" s="3">
        <f>IF(DAY(DimOct1)=1,DimOct1+6,DimOct1+13)</f>
        <v>45206</v>
      </c>
      <c r="BB4" s="3">
        <f>IF(DAY(DimOct1)=1,DimOct1+7,DimOct1+14)</f>
        <v>45207</v>
      </c>
    </row>
    <row r="5" spans="1:54" ht="16.5" customHeight="1" x14ac:dyDescent="0.25">
      <c r="B5" s="5" t="str">
        <f t="shared" si="0"/>
        <v>s. 2</v>
      </c>
      <c r="C5" s="3">
        <f>IF(DAY(DimJanv1)=1,DimJanv1+8,DimJanv1+15)</f>
        <v>44935</v>
      </c>
      <c r="D5" s="3">
        <f>IF(DAY(DimJanv1)=1,DimJanv1+9,DimJanv1+16)</f>
        <v>44936</v>
      </c>
      <c r="E5" s="3">
        <f>IF(DAY(DimJanv1)=1,DimJanv1+10,DimJanv1+17)</f>
        <v>44937</v>
      </c>
      <c r="F5" s="3">
        <f>IF(DAY(DimJanv1)=1,DimJanv1+11,DimJanv1+18)</f>
        <v>44938</v>
      </c>
      <c r="G5" s="3">
        <f>IF(DAY(DimJanv1)=1,DimJanv1+12,DimJanv1+19)</f>
        <v>44939</v>
      </c>
      <c r="H5" s="3">
        <f>IF(DAY(DimJanv1)=1,DimJanv1+13,DimJanv1+20)</f>
        <v>44940</v>
      </c>
      <c r="I5" s="3">
        <f>IF(DAY(DimJanv1)=1,DimJanv1+14,DimJanv1+21)</f>
        <v>44941</v>
      </c>
      <c r="K5" s="5" t="str">
        <f t="shared" si="1"/>
        <v>s. 7</v>
      </c>
      <c r="L5" s="3">
        <f>IF(DAY(DimFévr1)=1,DimFévr1+8,DimFévr1+15)</f>
        <v>44970</v>
      </c>
      <c r="M5" s="3">
        <f>IF(DAY(DimFévr1)=1,DimFévr1+9,DimFévr1+16)</f>
        <v>44971</v>
      </c>
      <c r="N5" s="3">
        <f>IF(DAY(DimFévr1)=1,DimFévr1+10,DimFévr1+17)</f>
        <v>44972</v>
      </c>
      <c r="O5" s="3">
        <f>IF(DAY(DimFévr1)=1,DimFévr1+11,DimFévr1+18)</f>
        <v>44973</v>
      </c>
      <c r="P5" s="3">
        <f>IF(DAY(DimFévr1)=1,DimFévr1+12,DimFévr1+19)</f>
        <v>44974</v>
      </c>
      <c r="Q5" s="3">
        <f>IF(DAY(DimFévr1)=1,DimFévr1+13,DimFévr1+20)</f>
        <v>44975</v>
      </c>
      <c r="R5" s="3">
        <f>IF(DAY(DimFévr1)=1,DimFévr1+14,DimFévr1+21)</f>
        <v>44976</v>
      </c>
      <c r="T5" s="5" t="str">
        <f t="shared" si="2"/>
        <v>s. 20</v>
      </c>
      <c r="U5" s="3">
        <f>IF(DAY(DimMai1)=1,DimMai1+8,DimMai1+15)</f>
        <v>45061</v>
      </c>
      <c r="V5" s="3">
        <f>IF(DAY(DimMai1)=1,DimMai1+9,DimMai1+16)</f>
        <v>45062</v>
      </c>
      <c r="W5" s="3">
        <f>IF(DAY(DimMai1)=1,DimMai1+10,DimMai1+17)</f>
        <v>45063</v>
      </c>
      <c r="X5" s="3">
        <f>IF(DAY(DimMai1)=1,DimMai1+11,DimMai1+18)</f>
        <v>45064</v>
      </c>
      <c r="Y5" s="3">
        <f>IF(DAY(DimMai1)=1,DimMai1+12,DimMai1+19)</f>
        <v>45065</v>
      </c>
      <c r="Z5" s="3">
        <f>IF(DAY(DimMai1)=1,DimMai1+13,DimMai1+20)</f>
        <v>45066</v>
      </c>
      <c r="AA5" s="3">
        <f>IF(DAY(DimMai1)=1,DimMai1+14,DimMai1+21)</f>
        <v>45067</v>
      </c>
      <c r="AC5" s="5" t="str">
        <f t="shared" si="3"/>
        <v>s. 24</v>
      </c>
      <c r="AD5" s="3">
        <f>IF(DAY(DimJuin1)=1,DimJuin1+8,DimJuin1+15)</f>
        <v>45089</v>
      </c>
      <c r="AE5" s="3">
        <f>IF(DAY(DimJuin1)=1,DimJuin1+9,DimJuin1+16)</f>
        <v>45090</v>
      </c>
      <c r="AF5" s="3">
        <f>IF(DAY(DimJuin1)=1,DimJuin1+10,DimJuin1+17)</f>
        <v>45091</v>
      </c>
      <c r="AG5" s="3">
        <f>IF(DAY(DimJuin1)=1,DimJuin1+11,DimJuin1+18)</f>
        <v>45092</v>
      </c>
      <c r="AH5" s="3">
        <f>IF(DAY(DimJuin1)=1,DimJuin1+12,DimJuin1+19)</f>
        <v>45093</v>
      </c>
      <c r="AI5" s="3">
        <f>IF(DAY(DimJuin1)=1,DimJuin1+13,DimJuin1+20)</f>
        <v>45094</v>
      </c>
      <c r="AJ5" s="3">
        <f>IF(DAY(DimJuin1)=1,DimJuin1+14,DimJuin1+21)</f>
        <v>45095</v>
      </c>
      <c r="AL5" s="5" t="str">
        <f t="shared" si="4"/>
        <v>s. 37</v>
      </c>
      <c r="AM5" s="3">
        <f>IF(DAY(DimSept1)=1,DimSept1+8,DimSept1+15)</f>
        <v>45180</v>
      </c>
      <c r="AN5" s="3">
        <f>IF(DAY(DimSept1)=1,DimSept1+9,DimSept1+16)</f>
        <v>45181</v>
      </c>
      <c r="AO5" s="3">
        <f>IF(DAY(DimSept1)=1,DimSept1+10,DimSept1+17)</f>
        <v>45182</v>
      </c>
      <c r="AP5" s="3">
        <f>IF(DAY(DimSept1)=1,DimSept1+11,DimSept1+18)</f>
        <v>45183</v>
      </c>
      <c r="AQ5" s="3">
        <f>IF(DAY(DimSept1)=1,DimSept1+12,DimSept1+19)</f>
        <v>45184</v>
      </c>
      <c r="AR5" s="3">
        <f>IF(DAY(DimSept1)=1,DimSept1+13,DimSept1+20)</f>
        <v>45185</v>
      </c>
      <c r="AS5" s="3">
        <f>IF(DAY(DimSept1)=1,DimSept1+14,DimSept1+21)</f>
        <v>45186</v>
      </c>
      <c r="AU5" s="5" t="str">
        <f t="shared" si="5"/>
        <v>s. 41</v>
      </c>
      <c r="AV5" s="3">
        <f>IF(DAY(DimOct1)=1,DimOct1+8,DimOct1+15)</f>
        <v>45208</v>
      </c>
      <c r="AW5" s="3">
        <f>IF(DAY(DimOct1)=1,DimOct1+9,DimOct1+16)</f>
        <v>45209</v>
      </c>
      <c r="AX5" s="3">
        <f>IF(DAY(DimOct1)=1,DimOct1+10,DimOct1+17)</f>
        <v>45210</v>
      </c>
      <c r="AY5" s="3">
        <f>IF(DAY(DimOct1)=1,DimOct1+11,DimOct1+18)</f>
        <v>45211</v>
      </c>
      <c r="AZ5" s="3">
        <f>IF(DAY(DimOct1)=1,DimOct1+12,DimOct1+19)</f>
        <v>45212</v>
      </c>
      <c r="BA5" s="3">
        <f>IF(DAY(DimOct1)=1,DimOct1+13,DimOct1+20)</f>
        <v>45213</v>
      </c>
      <c r="BB5" s="3">
        <f>IF(DAY(DimOct1)=1,DimOct1+14,DimOct1+21)</f>
        <v>45214</v>
      </c>
    </row>
    <row r="6" spans="1:54" ht="16.5" customHeight="1" x14ac:dyDescent="0.25">
      <c r="B6" s="5" t="str">
        <f t="shared" si="0"/>
        <v>s. 3</v>
      </c>
      <c r="C6" s="3">
        <f>IF(DAY(DimJanv1)=1,DimJanv1+15,DimJanv1+22)</f>
        <v>44942</v>
      </c>
      <c r="D6" s="3">
        <f>IF(DAY(DimJanv1)=1,DimJanv1+16,DimJanv1+23)</f>
        <v>44943</v>
      </c>
      <c r="E6" s="3">
        <f>IF(DAY(DimJanv1)=1,DimJanv1+17,DimJanv1+24)</f>
        <v>44944</v>
      </c>
      <c r="F6" s="3">
        <f>IF(DAY(DimJanv1)=1,DimJanv1+18,DimJanv1+25)</f>
        <v>44945</v>
      </c>
      <c r="G6" s="3">
        <f>IF(DAY(DimJanv1)=1,DimJanv1+19,DimJanv1+26)</f>
        <v>44946</v>
      </c>
      <c r="H6" s="3">
        <f>IF(DAY(DimJanv1)=1,DimJanv1+20,DimJanv1+27)</f>
        <v>44947</v>
      </c>
      <c r="I6" s="3">
        <f>IF(DAY(DimJanv1)=1,DimJanv1+21,DimJanv1+28)</f>
        <v>44948</v>
      </c>
      <c r="K6" s="5" t="str">
        <f t="shared" si="1"/>
        <v>s. 8</v>
      </c>
      <c r="L6" s="3">
        <f>IF(DAY(DimFévr1)=1,DimFévr1+15,DimFévr1+22)</f>
        <v>44977</v>
      </c>
      <c r="M6" s="3">
        <f>IF(DAY(DimFévr1)=1,DimFévr1+16,DimFévr1+23)</f>
        <v>44978</v>
      </c>
      <c r="N6" s="3">
        <f>IF(DAY(DimFévr1)=1,DimFévr1+17,DimFévr1+24)</f>
        <v>44979</v>
      </c>
      <c r="O6" s="3">
        <f>IF(DAY(DimFévr1)=1,DimFévr1+18,DimFévr1+25)</f>
        <v>44980</v>
      </c>
      <c r="P6" s="3">
        <f>IF(DAY(DimFévr1)=1,DimFévr1+19,DimFévr1+26)</f>
        <v>44981</v>
      </c>
      <c r="Q6" s="3">
        <f>IF(DAY(DimFévr1)=1,DimFévr1+20,DimFévr1+27)</f>
        <v>44982</v>
      </c>
      <c r="R6" s="3">
        <f>IF(DAY(DimFévr1)=1,DimFévr1+21,DimFévr1+28)</f>
        <v>44983</v>
      </c>
      <c r="T6" s="5" t="str">
        <f t="shared" si="2"/>
        <v>s. 21</v>
      </c>
      <c r="U6" s="3">
        <f>IF(DAY(DimMai1)=1,DimMai1+15,DimMai1+22)</f>
        <v>45068</v>
      </c>
      <c r="V6" s="3">
        <f>IF(DAY(DimMai1)=1,DimMai1+16,DimMai1+23)</f>
        <v>45069</v>
      </c>
      <c r="W6" s="3">
        <f>IF(DAY(DimMai1)=1,DimMai1+17,DimMai1+24)</f>
        <v>45070</v>
      </c>
      <c r="X6" s="3">
        <f>IF(DAY(DimMai1)=1,DimMai1+18,DimMai1+25)</f>
        <v>45071</v>
      </c>
      <c r="Y6" s="3">
        <f>IF(DAY(DimMai1)=1,DimMai1+19,DimMai1+26)</f>
        <v>45072</v>
      </c>
      <c r="Z6" s="3">
        <f>IF(DAY(DimMai1)=1,DimMai1+20,DimMai1+27)</f>
        <v>45073</v>
      </c>
      <c r="AA6" s="3">
        <f>IF(DAY(DimMai1)=1,DimMai1+21,DimMai1+28)</f>
        <v>45074</v>
      </c>
      <c r="AC6" s="5" t="str">
        <f t="shared" si="3"/>
        <v>s. 25</v>
      </c>
      <c r="AD6" s="3">
        <f>IF(DAY(DimJuin1)=1,DimJuin1+15,DimJuin1+22)</f>
        <v>45096</v>
      </c>
      <c r="AE6" s="3">
        <f>IF(DAY(DimJuin1)=1,DimJuin1+16,DimJuin1+23)</f>
        <v>45097</v>
      </c>
      <c r="AF6" s="3">
        <f>IF(DAY(DimJuin1)=1,DimJuin1+17,DimJuin1+24)</f>
        <v>45098</v>
      </c>
      <c r="AG6" s="3">
        <f>IF(DAY(DimJuin1)=1,DimJuin1+18,DimJuin1+25)</f>
        <v>45099</v>
      </c>
      <c r="AH6" s="3">
        <f>IF(DAY(DimJuin1)=1,DimJuin1+19,DimJuin1+26)</f>
        <v>45100</v>
      </c>
      <c r="AI6" s="3">
        <f>IF(DAY(DimJuin1)=1,DimJuin1+20,DimJuin1+27)</f>
        <v>45101</v>
      </c>
      <c r="AJ6" s="3">
        <f>IF(DAY(DimJuin1)=1,DimJuin1+21,DimJuin1+28)</f>
        <v>45102</v>
      </c>
      <c r="AL6" s="5" t="str">
        <f t="shared" si="4"/>
        <v>s. 38</v>
      </c>
      <c r="AM6" s="3">
        <f>IF(DAY(DimSept1)=1,DimSept1+15,DimSept1+22)</f>
        <v>45187</v>
      </c>
      <c r="AN6" s="3">
        <f>IF(DAY(DimSept1)=1,DimSept1+16,DimSept1+23)</f>
        <v>45188</v>
      </c>
      <c r="AO6" s="3">
        <f>IF(DAY(DimSept1)=1,DimSept1+17,DimSept1+24)</f>
        <v>45189</v>
      </c>
      <c r="AP6" s="3">
        <f>IF(DAY(DimSept1)=1,DimSept1+18,DimSept1+25)</f>
        <v>45190</v>
      </c>
      <c r="AQ6" s="3">
        <f>IF(DAY(DimSept1)=1,DimSept1+19,DimSept1+26)</f>
        <v>45191</v>
      </c>
      <c r="AR6" s="3">
        <f>IF(DAY(DimSept1)=1,DimSept1+20,DimSept1+27)</f>
        <v>45192</v>
      </c>
      <c r="AS6" s="3">
        <f>IF(DAY(DimSept1)=1,DimSept1+21,DimSept1+28)</f>
        <v>45193</v>
      </c>
      <c r="AU6" s="5" t="str">
        <f t="shared" si="5"/>
        <v>s. 42</v>
      </c>
      <c r="AV6" s="3">
        <f>IF(DAY(DimOct1)=1,DimOct1+15,DimOct1+22)</f>
        <v>45215</v>
      </c>
      <c r="AW6" s="3">
        <f>IF(DAY(DimOct1)=1,DimOct1+16,DimOct1+23)</f>
        <v>45216</v>
      </c>
      <c r="AX6" s="3">
        <f>IF(DAY(DimOct1)=1,DimOct1+17,DimOct1+24)</f>
        <v>45217</v>
      </c>
      <c r="AY6" s="3">
        <f>IF(DAY(DimOct1)=1,DimOct1+18,DimOct1+25)</f>
        <v>45218</v>
      </c>
      <c r="AZ6" s="3">
        <f>IF(DAY(DimOct1)=1,DimOct1+19,DimOct1+26)</f>
        <v>45219</v>
      </c>
      <c r="BA6" s="3">
        <f>IF(DAY(DimOct1)=1,DimOct1+20,DimOct1+27)</f>
        <v>45220</v>
      </c>
      <c r="BB6" s="3">
        <f>IF(DAY(DimOct1)=1,DimOct1+21,DimOct1+28)</f>
        <v>45221</v>
      </c>
    </row>
    <row r="7" spans="1:54" ht="16.5" customHeight="1" x14ac:dyDescent="0.25">
      <c r="B7" s="5" t="str">
        <f>CONCATENATE("s. ",_xlfn.ISOWEEKNUM(C7))</f>
        <v>s. 4</v>
      </c>
      <c r="C7" s="3">
        <f>IF(DAY(DimJanv1)=1,DimJanv1+22,DimJanv1+29)</f>
        <v>44949</v>
      </c>
      <c r="D7" s="3">
        <f>IF(DAY(DimJanv1)=1,DimJanv1+23,DimJanv1+30)</f>
        <v>44950</v>
      </c>
      <c r="E7" s="3">
        <f>IF(DAY(DimJanv1)=1,DimJanv1+24,DimJanv1+31)</f>
        <v>44951</v>
      </c>
      <c r="F7" s="3">
        <f>IF(DAY(DimJanv1)=1,DimJanv1+25,DimJanv1+32)</f>
        <v>44952</v>
      </c>
      <c r="G7" s="3">
        <f>IF(DAY(DimJanv1)=1,DimJanv1+26,DimJanv1+33)</f>
        <v>44953</v>
      </c>
      <c r="H7" s="3">
        <f>IF(DAY(DimJanv1)=1,DimJanv1+27,DimJanv1+34)</f>
        <v>44954</v>
      </c>
      <c r="I7" s="3">
        <f>IF(DAY(DimJanv1)=1,DimJanv1+28,DimJanv1+35)</f>
        <v>44955</v>
      </c>
      <c r="K7" s="5" t="str">
        <f>CONCATENATE("s. ",_xlfn.ISOWEEKNUM(L7))</f>
        <v>s. 9</v>
      </c>
      <c r="L7" s="3">
        <f>IF(DAY(DimFévr1)=1,DimFévr1+22,DimFévr1+29)</f>
        <v>44984</v>
      </c>
      <c r="M7" s="3">
        <f>IF(DAY(DimFévr1)=1,DimFévr1+23,DimFévr1+30)</f>
        <v>44985</v>
      </c>
      <c r="N7" s="3">
        <f>IF(DAY(DimFévr1)=1,DimFévr1+24,DimFévr1+31)</f>
        <v>44986</v>
      </c>
      <c r="O7" s="3">
        <f>IF(DAY(DimFévr1)=1,DimFévr1+25,DimFévr1+32)</f>
        <v>44987</v>
      </c>
      <c r="P7" s="3">
        <f>IF(DAY(DimFévr1)=1,DimFévr1+26,DimFévr1+33)</f>
        <v>44988</v>
      </c>
      <c r="Q7" s="3">
        <f>IF(DAY(DimFévr1)=1,DimFévr1+27,DimFévr1+34)</f>
        <v>44989</v>
      </c>
      <c r="R7" s="3">
        <f>IF(DAY(DimFévr1)=1,DimFévr1+28,DimFévr1+35)</f>
        <v>44990</v>
      </c>
      <c r="T7" s="5" t="str">
        <f>CONCATENATE("s. ",_xlfn.ISOWEEKNUM(U7))</f>
        <v>s. 22</v>
      </c>
      <c r="U7" s="3">
        <f>IF(DAY(DimMai1)=1,DimMai1+22,DimMai1+29)</f>
        <v>45075</v>
      </c>
      <c r="V7" s="3">
        <f>IF(DAY(DimMai1)=1,DimMai1+23,DimMai1+30)</f>
        <v>45076</v>
      </c>
      <c r="W7" s="3">
        <f>IF(DAY(DimMai1)=1,DimMai1+24,DimMai1+31)</f>
        <v>45077</v>
      </c>
      <c r="X7" s="3">
        <f>IF(DAY(DimMai1)=1,DimMai1+25,DimMai1+32)</f>
        <v>45078</v>
      </c>
      <c r="Y7" s="3">
        <f>IF(DAY(DimMai1)=1,DimMai1+26,DimMai1+33)</f>
        <v>45079</v>
      </c>
      <c r="Z7" s="3">
        <f>IF(DAY(DimMai1)=1,DimMai1+27,DimMai1+34)</f>
        <v>45080</v>
      </c>
      <c r="AA7" s="3">
        <f>IF(DAY(DimMai1)=1,DimMai1+28,DimMai1+35)</f>
        <v>45081</v>
      </c>
      <c r="AC7" s="5" t="str">
        <f>CONCATENATE("s. ",_xlfn.ISOWEEKNUM(AD7))</f>
        <v>s. 26</v>
      </c>
      <c r="AD7" s="3">
        <f>IF(DAY(DimJuin1)=1,DimJuin1+22,DimJuin1+29)</f>
        <v>45103</v>
      </c>
      <c r="AE7" s="3">
        <f>IF(DAY(DimJuin1)=1,DimJuin1+23,DimJuin1+30)</f>
        <v>45104</v>
      </c>
      <c r="AF7" s="3">
        <f>IF(DAY(DimJuin1)=1,DimJuin1+24,DimJuin1+31)</f>
        <v>45105</v>
      </c>
      <c r="AG7" s="3">
        <f>IF(DAY(DimJuin1)=1,DimJuin1+25,DimJuin1+32)</f>
        <v>45106</v>
      </c>
      <c r="AH7" s="3">
        <f>IF(DAY(DimJuin1)=1,DimJuin1+26,DimJuin1+33)</f>
        <v>45107</v>
      </c>
      <c r="AI7" s="3">
        <f>IF(DAY(DimJuin1)=1,DimJuin1+27,DimJuin1+34)</f>
        <v>45108</v>
      </c>
      <c r="AJ7" s="3">
        <f>IF(DAY(DimJuin1)=1,DimJuin1+28,DimJuin1+35)</f>
        <v>45109</v>
      </c>
      <c r="AL7" s="5" t="str">
        <f>CONCATENATE("s. ",_xlfn.ISOWEEKNUM(AM7))</f>
        <v>s. 39</v>
      </c>
      <c r="AM7" s="3">
        <f>IF(DAY(DimSept1)=1,DimSept1+22,DimSept1+29)</f>
        <v>45194</v>
      </c>
      <c r="AN7" s="3">
        <f>IF(DAY(DimSept1)=1,DimSept1+23,DimSept1+30)</f>
        <v>45195</v>
      </c>
      <c r="AO7" s="3">
        <f>IF(DAY(DimSept1)=1,DimSept1+24,DimSept1+31)</f>
        <v>45196</v>
      </c>
      <c r="AP7" s="3">
        <f>IF(DAY(DimSept1)=1,DimSept1+25,DimSept1+32)</f>
        <v>45197</v>
      </c>
      <c r="AQ7" s="3">
        <f>IF(DAY(DimSept1)=1,DimSept1+26,DimSept1+33)</f>
        <v>45198</v>
      </c>
      <c r="AR7" s="3">
        <f>IF(DAY(DimSept1)=1,DimSept1+27,DimSept1+34)</f>
        <v>45199</v>
      </c>
      <c r="AS7" s="3">
        <f>IF(DAY(DimSept1)=1,DimSept1+28,DimSept1+35)</f>
        <v>45200</v>
      </c>
      <c r="AU7" s="5" t="str">
        <f>CONCATENATE("s. ",_xlfn.ISOWEEKNUM(AV7))</f>
        <v>s. 43</v>
      </c>
      <c r="AV7" s="3">
        <f>IF(DAY(DimOct1)=1,DimOct1+22,DimOct1+29)</f>
        <v>45222</v>
      </c>
      <c r="AW7" s="3">
        <f>IF(DAY(DimOct1)=1,DimOct1+23,DimOct1+30)</f>
        <v>45223</v>
      </c>
      <c r="AX7" s="3">
        <f>IF(DAY(DimOct1)=1,DimOct1+24,DimOct1+31)</f>
        <v>45224</v>
      </c>
      <c r="AY7" s="3">
        <f>IF(DAY(DimOct1)=1,DimOct1+25,DimOct1+32)</f>
        <v>45225</v>
      </c>
      <c r="AZ7" s="3">
        <f>IF(DAY(DimOct1)=1,DimOct1+26,DimOct1+33)</f>
        <v>45226</v>
      </c>
      <c r="BA7" s="3">
        <f>IF(DAY(DimOct1)=1,DimOct1+27,DimOct1+34)</f>
        <v>45227</v>
      </c>
      <c r="BB7" s="3">
        <f>IF(DAY(DimOct1)=1,DimOct1+28,DimOct1+35)</f>
        <v>45228</v>
      </c>
    </row>
    <row r="8" spans="1:54" ht="16.5" customHeight="1" x14ac:dyDescent="0.25">
      <c r="B8" s="6" t="str">
        <f>CONCATENATE("s. ",_xlfn.ISOWEEKNUM(C8))</f>
        <v>s. 5</v>
      </c>
      <c r="C8" s="4">
        <f>IF(DAY(DimJanv1)=1,DimJanv1+29,DimJanv1+36)</f>
        <v>44956</v>
      </c>
      <c r="D8" s="4">
        <f>IF(DAY(DimJanv1)=1,DimJanv1+30,DimJanv1+37)</f>
        <v>44957</v>
      </c>
      <c r="E8" s="4">
        <f>IF(DAY(DimJanv1)=1,DimJanv1+31,DimJanv1+38)</f>
        <v>44958</v>
      </c>
      <c r="F8" s="4">
        <f>IF(DAY(DimJanv1)=1,DimJanv1+32,DimJanv1+39)</f>
        <v>44959</v>
      </c>
      <c r="G8" s="4">
        <f>IF(DAY(DimJanv1)=1,DimJanv1+33,DimJanv1+40)</f>
        <v>44960</v>
      </c>
      <c r="H8" s="4">
        <f>IF(DAY(DimJanv1)=1,DimJanv1+34,DimJanv1+41)</f>
        <v>44961</v>
      </c>
      <c r="I8" s="4">
        <f>IF(DAY(DimJanv1)=1,DimJanv1+35,DimJanv1+42)</f>
        <v>44962</v>
      </c>
      <c r="K8" s="6" t="str">
        <f>CONCATENATE("s. ",_xlfn.ISOWEEKNUM(L8))</f>
        <v>s. 10</v>
      </c>
      <c r="L8" s="4">
        <f>IF(DAY(DimFévr1)=1,DimFévr1+29,DimFévr1+36)</f>
        <v>44991</v>
      </c>
      <c r="M8" s="4">
        <f>IF(DAY(DimFévr1)=1,DimFévr1+30,DimFévr1+37)</f>
        <v>44992</v>
      </c>
      <c r="N8" s="4">
        <f>IF(DAY(DimFévr1)=1,DimFévr1+31,DimFévr1+38)</f>
        <v>44993</v>
      </c>
      <c r="O8" s="4">
        <f>IF(DAY(DimFévr1)=1,DimFévr1+32,DimFévr1+39)</f>
        <v>44994</v>
      </c>
      <c r="P8" s="4">
        <f>IF(DAY(DimFévr1)=1,DimFévr1+33,DimFévr1+40)</f>
        <v>44995</v>
      </c>
      <c r="Q8" s="4">
        <f>IF(DAY(DimFévr1)=1,DimFévr1+34,DimFévr1+41)</f>
        <v>44996</v>
      </c>
      <c r="R8" s="4">
        <f>IF(DAY(DimFévr1)=1,DimFévr1+35,DimFévr1+42)</f>
        <v>44997</v>
      </c>
      <c r="T8" s="6" t="str">
        <f>CONCATENATE("s. ",_xlfn.ISOWEEKNUM(U8))</f>
        <v>s. 23</v>
      </c>
      <c r="U8" s="4">
        <f>IF(DAY(DimMai1)=1,DimMai1+29,DimMai1+36)</f>
        <v>45082</v>
      </c>
      <c r="V8" s="4">
        <f>IF(DAY(DimMai1)=1,DimMai1+30,DimMai1+37)</f>
        <v>45083</v>
      </c>
      <c r="W8" s="4">
        <f>IF(DAY(DimMai1)=1,DimMai1+31,DimMai1+38)</f>
        <v>45084</v>
      </c>
      <c r="X8" s="4">
        <f>IF(DAY(DimMai1)=1,DimMai1+32,DimMai1+39)</f>
        <v>45085</v>
      </c>
      <c r="Y8" s="4">
        <f>IF(DAY(DimMai1)=1,DimMai1+33,DimMai1+40)</f>
        <v>45086</v>
      </c>
      <c r="Z8" s="4">
        <f>IF(DAY(DimMai1)=1,DimMai1+34,DimMai1+41)</f>
        <v>45087</v>
      </c>
      <c r="AA8" s="4">
        <f>IF(DAY(DimMai1)=1,DimMai1+35,DimMai1+42)</f>
        <v>45088</v>
      </c>
      <c r="AC8" s="6" t="str">
        <f>CONCATENATE("s. ",_xlfn.ISOWEEKNUM(AD8))</f>
        <v>s. 27</v>
      </c>
      <c r="AD8" s="4">
        <f>IF(DAY(DimJuin1)=1,DimJuin1+29,DimJuin1+36)</f>
        <v>45110</v>
      </c>
      <c r="AE8" s="4">
        <f>IF(DAY(DimJuin1)=1,DimJuin1+30,DimJuin1+37)</f>
        <v>45111</v>
      </c>
      <c r="AF8" s="4">
        <f>IF(DAY(DimJuin1)=1,DimJuin1+31,DimJuin1+38)</f>
        <v>45112</v>
      </c>
      <c r="AG8" s="4">
        <f>IF(DAY(DimJuin1)=1,DimJuin1+32,DimJuin1+39)</f>
        <v>45113</v>
      </c>
      <c r="AH8" s="4">
        <f>IF(DAY(DimJuin1)=1,DimJuin1+33,DimJuin1+40)</f>
        <v>45114</v>
      </c>
      <c r="AI8" s="4">
        <f>IF(DAY(DimJuin1)=1,DimJuin1+34,DimJuin1+41)</f>
        <v>45115</v>
      </c>
      <c r="AJ8" s="4">
        <f>IF(DAY(DimJuin1)=1,DimJuin1+35,DimJuin1+42)</f>
        <v>45116</v>
      </c>
      <c r="AL8" s="6" t="str">
        <f>CONCATENATE("s. ",_xlfn.ISOWEEKNUM(AM8))</f>
        <v>s. 40</v>
      </c>
      <c r="AM8" s="4">
        <f>IF(DAY(DimSept1)=1,DimSept1+29,DimSept1+36)</f>
        <v>45201</v>
      </c>
      <c r="AN8" s="4">
        <f>IF(DAY(DimSept1)=1,DimSept1+30,DimSept1+37)</f>
        <v>45202</v>
      </c>
      <c r="AO8" s="4">
        <f>IF(DAY(DimSept1)=1,DimSept1+31,DimSept1+38)</f>
        <v>45203</v>
      </c>
      <c r="AP8" s="4">
        <f>IF(DAY(DimSept1)=1,DimSept1+32,DimSept1+39)</f>
        <v>45204</v>
      </c>
      <c r="AQ8" s="4">
        <f>IF(DAY(DimSept1)=1,DimSept1+33,DimSept1+40)</f>
        <v>45205</v>
      </c>
      <c r="AR8" s="4">
        <f>IF(DAY(DimSept1)=1,DimSept1+34,DimSept1+41)</f>
        <v>45206</v>
      </c>
      <c r="AS8" s="4">
        <f>IF(DAY(DimSept1)=1,DimSept1+35,DimSept1+42)</f>
        <v>45207</v>
      </c>
      <c r="AU8" s="6" t="str">
        <f>CONCATENATE("s. ",_xlfn.ISOWEEKNUM(AV8))</f>
        <v>s. 44</v>
      </c>
      <c r="AV8" s="4">
        <f>IF(DAY(DimOct1)=1,DimOct1+29,DimOct1+36)</f>
        <v>45229</v>
      </c>
      <c r="AW8" s="4">
        <f>IF(DAY(DimOct1)=1,DimOct1+30,DimOct1+37)</f>
        <v>45230</v>
      </c>
      <c r="AX8" s="4">
        <f>IF(DAY(DimOct1)=1,DimOct1+31,DimOct1+38)</f>
        <v>45231</v>
      </c>
      <c r="AY8" s="4">
        <f>IF(DAY(DimOct1)=1,DimOct1+32,DimOct1+39)</f>
        <v>45232</v>
      </c>
      <c r="AZ8" s="4">
        <f>IF(DAY(DimOct1)=1,DimOct1+33,DimOct1+40)</f>
        <v>45233</v>
      </c>
      <c r="BA8" s="4">
        <f>IF(DAY(DimOct1)=1,DimOct1+34,DimOct1+41)</f>
        <v>45234</v>
      </c>
      <c r="BB8" s="4">
        <f>IF(DAY(DimOct1)=1,DimOct1+35,DimOct1+42)</f>
        <v>45235</v>
      </c>
    </row>
    <row r="9" spans="1:54" ht="12" customHeight="1" x14ac:dyDescent="0.25">
      <c r="B9" s="6"/>
      <c r="C9" s="3"/>
      <c r="D9" s="3"/>
      <c r="E9" s="3"/>
      <c r="F9" s="3"/>
      <c r="G9" s="3"/>
      <c r="H9" s="3"/>
      <c r="I9" s="3"/>
      <c r="T9" s="6"/>
      <c r="U9" s="3"/>
      <c r="V9" s="3"/>
      <c r="W9" s="3"/>
      <c r="X9" s="3"/>
      <c r="Y9" s="3"/>
      <c r="Z9" s="3"/>
      <c r="AA9" s="3"/>
      <c r="AL9" s="6"/>
      <c r="AM9" s="3"/>
      <c r="AN9" s="3"/>
      <c r="AO9" s="3"/>
      <c r="AP9" s="3"/>
      <c r="AQ9" s="3"/>
      <c r="AR9" s="3"/>
      <c r="AS9" s="3"/>
    </row>
    <row r="10" spans="1:54" ht="16.5" customHeight="1" thickBot="1" x14ac:dyDescent="0.3">
      <c r="A10" s="8">
        <v>2</v>
      </c>
      <c r="B10" s="30" t="s">
        <v>32</v>
      </c>
      <c r="C10" s="35" t="s">
        <v>191</v>
      </c>
      <c r="D10" s="35" t="s">
        <v>192</v>
      </c>
      <c r="E10" s="35" t="s">
        <v>193</v>
      </c>
      <c r="F10" s="35" t="s">
        <v>194</v>
      </c>
      <c r="G10" s="35" t="s">
        <v>195</v>
      </c>
      <c r="H10" s="35" t="s">
        <v>196</v>
      </c>
      <c r="I10" s="35" t="s">
        <v>197</v>
      </c>
      <c r="K10" s="31" t="s">
        <v>33</v>
      </c>
      <c r="L10" s="35" t="s">
        <v>191</v>
      </c>
      <c r="M10" s="35" t="s">
        <v>192</v>
      </c>
      <c r="N10" s="35" t="s">
        <v>193</v>
      </c>
      <c r="O10" s="35" t="s">
        <v>194</v>
      </c>
      <c r="P10" s="35" t="s">
        <v>195</v>
      </c>
      <c r="Q10" s="35" t="s">
        <v>196</v>
      </c>
      <c r="R10" s="35" t="s">
        <v>197</v>
      </c>
      <c r="S10" s="8">
        <v>2</v>
      </c>
      <c r="T10" s="30" t="s">
        <v>212</v>
      </c>
      <c r="U10" s="35" t="s">
        <v>191</v>
      </c>
      <c r="V10" s="35" t="s">
        <v>192</v>
      </c>
      <c r="W10" s="35" t="s">
        <v>193</v>
      </c>
      <c r="X10" s="35" t="s">
        <v>194</v>
      </c>
      <c r="Y10" s="35" t="s">
        <v>195</v>
      </c>
      <c r="Z10" s="35" t="s">
        <v>196</v>
      </c>
      <c r="AA10" s="35" t="s">
        <v>197</v>
      </c>
      <c r="AC10" s="31" t="s">
        <v>213</v>
      </c>
      <c r="AD10" s="35" t="s">
        <v>191</v>
      </c>
      <c r="AE10" s="35" t="s">
        <v>192</v>
      </c>
      <c r="AF10" s="35" t="s">
        <v>193</v>
      </c>
      <c r="AG10" s="35" t="s">
        <v>194</v>
      </c>
      <c r="AH10" s="35" t="s">
        <v>195</v>
      </c>
      <c r="AI10" s="35" t="s">
        <v>196</v>
      </c>
      <c r="AJ10" s="35" t="s">
        <v>197</v>
      </c>
      <c r="AK10" s="8">
        <v>2</v>
      </c>
      <c r="AL10" s="30" t="s">
        <v>217</v>
      </c>
      <c r="AM10" s="35" t="s">
        <v>191</v>
      </c>
      <c r="AN10" s="35" t="s">
        <v>192</v>
      </c>
      <c r="AO10" s="35" t="s">
        <v>193</v>
      </c>
      <c r="AP10" s="35" t="s">
        <v>194</v>
      </c>
      <c r="AQ10" s="35" t="s">
        <v>195</v>
      </c>
      <c r="AR10" s="35" t="s">
        <v>196</v>
      </c>
      <c r="AS10" s="35" t="s">
        <v>197</v>
      </c>
      <c r="AU10" s="31" t="s">
        <v>218</v>
      </c>
      <c r="AV10" s="35" t="s">
        <v>191</v>
      </c>
      <c r="AW10" s="35" t="s">
        <v>192</v>
      </c>
      <c r="AX10" s="35" t="s">
        <v>193</v>
      </c>
      <c r="AY10" s="35" t="s">
        <v>194</v>
      </c>
      <c r="AZ10" s="35" t="s">
        <v>195</v>
      </c>
      <c r="BA10" s="35" t="s">
        <v>196</v>
      </c>
      <c r="BB10" s="35" t="s">
        <v>197</v>
      </c>
    </row>
    <row r="11" spans="1:54" ht="16.5" customHeight="1" thickTop="1" x14ac:dyDescent="0.25">
      <c r="B11" s="5" t="str">
        <f>CONCATENATE("s. ",_xlfn.ISOWEEKNUM(C11))</f>
        <v>s. 9</v>
      </c>
      <c r="C11" s="3">
        <f>IF(DAY(DimMars1)=1,DimMars1-6,DimMars1+1)</f>
        <v>44984</v>
      </c>
      <c r="D11" s="3">
        <f>IF(DAY(DimMars1)=1,DimMars1-5,DimMars1+2)</f>
        <v>44985</v>
      </c>
      <c r="E11" s="3">
        <f>IF(DAY(DimMars1)=1,DimMars1-4,DimMars1+3)</f>
        <v>44986</v>
      </c>
      <c r="F11" s="3">
        <f>IF(DAY(DimMars1)=1,DimMars1-3,DimMars1+4)</f>
        <v>44987</v>
      </c>
      <c r="G11" s="3">
        <f>IF(DAY(DimMars1)=1,DimMars1-2,DimMars1+5)</f>
        <v>44988</v>
      </c>
      <c r="H11" s="3">
        <f>IF(DAY(DimMars1)=1,DimMars1-1,DimMars1+6)</f>
        <v>44989</v>
      </c>
      <c r="I11" s="3">
        <f>IF(DAY(DimMars1)=1,DimMars1,DimMars1+7)</f>
        <v>44990</v>
      </c>
      <c r="K11" s="5" t="str">
        <f>CONCATENATE("s. ",_xlfn.ISOWEEKNUM(L11))</f>
        <v>s. 13</v>
      </c>
      <c r="L11" s="3">
        <f>IF(DAY(DimAvr1)=1,DimAvr1-6,DimAvr1+1)</f>
        <v>45012</v>
      </c>
      <c r="M11" s="3">
        <f>IF(DAY(DimAvr1)=1,DimAvr1-5,DimAvr1+2)</f>
        <v>45013</v>
      </c>
      <c r="N11" s="3">
        <f>IF(DAY(DimAvr1)=1,DimAvr1-4,DimAvr1+3)</f>
        <v>45014</v>
      </c>
      <c r="O11" s="3">
        <f>IF(DAY(DimAvr1)=1,DimAvr1-3,DimAvr1+4)</f>
        <v>45015</v>
      </c>
      <c r="P11" s="3">
        <f>IF(DAY(DimAvr1)=1,DimAvr1-2,DimAvr1+5)</f>
        <v>45016</v>
      </c>
      <c r="Q11" s="3">
        <f>IF(DAY(DimAvr1)=1,DimAvr1-1,DimAvr1+6)</f>
        <v>45017</v>
      </c>
      <c r="R11" s="3">
        <f>IF(DAY(DimAvr1)=1,DimAvr1,DimAvr1+7)</f>
        <v>45018</v>
      </c>
      <c r="T11" s="5" t="str">
        <f>CONCATENATE("s. ",_xlfn.ISOWEEKNUM(U11))</f>
        <v>s. 26</v>
      </c>
      <c r="U11" s="3">
        <f>IF(DAY(DimJuil1)=1,DimJuil1-6,DimJuil1+1)</f>
        <v>45103</v>
      </c>
      <c r="V11" s="3">
        <f>IF(DAY(DimJuil1)=1,DimJuil1-5,DimJuil1+2)</f>
        <v>45104</v>
      </c>
      <c r="W11" s="3">
        <f>IF(DAY(DimJuil1)=1,DimJuil1-4,DimJuil1+3)</f>
        <v>45105</v>
      </c>
      <c r="X11" s="3">
        <f>IF(DAY(DimJuil1)=1,DimJuil1-3,DimJuil1+4)</f>
        <v>45106</v>
      </c>
      <c r="Y11" s="3">
        <f>IF(DAY(DimJuil1)=1,DimJuil1-2,DimJuil1+5)</f>
        <v>45107</v>
      </c>
      <c r="Z11" s="3">
        <f>IF(DAY(DimJuil1)=1,DimJuil1-1,DimJuil1+6)</f>
        <v>45108</v>
      </c>
      <c r="AA11" s="3">
        <f>IF(DAY(DimJuil1)=1,DimJuil1,DimJuil1+7)</f>
        <v>45109</v>
      </c>
      <c r="AC11" s="5" t="str">
        <f>CONCATENATE("s. ",_xlfn.ISOWEEKNUM(AD11))</f>
        <v>s. 31</v>
      </c>
      <c r="AD11" s="3">
        <f>IF(DAY(DimAoût1)=1,DimAoût1-6,DimAoût1+1)</f>
        <v>45138</v>
      </c>
      <c r="AE11" s="3">
        <f>IF(DAY(DimAoût1)=1,DimAoût1-5,DimAoût1+2)</f>
        <v>45139</v>
      </c>
      <c r="AF11" s="3">
        <f>IF(DAY(DimAoût1)=1,DimAoût1-4,DimAoût1+3)</f>
        <v>45140</v>
      </c>
      <c r="AG11" s="3">
        <f>IF(DAY(DimAoût1)=1,DimAoût1-3,DimAoût1+4)</f>
        <v>45141</v>
      </c>
      <c r="AH11" s="3">
        <f>IF(DAY(DimAoût1)=1,DimAoût1-2,DimAoût1+5)</f>
        <v>45142</v>
      </c>
      <c r="AI11" s="3">
        <f>IF(DAY(DimAoût1)=1,DimAoût1-1,DimAoût1+6)</f>
        <v>45143</v>
      </c>
      <c r="AJ11" s="3">
        <f>IF(DAY(DimAoût1)=1,DimAoût1,DimAoût1+7)</f>
        <v>45144</v>
      </c>
      <c r="AL11" s="5" t="str">
        <f>CONCATENATE("s. ",_xlfn.ISOWEEKNUM(AM11))</f>
        <v>s. 44</v>
      </c>
      <c r="AM11" s="3">
        <f>IF(DAY(DimNov1)=1,DimNov1-6,DimNov1+1)</f>
        <v>45229</v>
      </c>
      <c r="AN11" s="3">
        <f>IF(DAY(DimNov1)=1,DimNov1-5,DimNov1+2)</f>
        <v>45230</v>
      </c>
      <c r="AO11" s="3">
        <f>IF(DAY(DimNov1)=1,DimNov1-4,DimNov1+3)</f>
        <v>45231</v>
      </c>
      <c r="AP11" s="3">
        <f>IF(DAY(DimNov1)=1,DimNov1-3,DimNov1+4)</f>
        <v>45232</v>
      </c>
      <c r="AQ11" s="3">
        <f>IF(DAY(DimNov1)=1,DimNov1-2,DimNov1+5)</f>
        <v>45233</v>
      </c>
      <c r="AR11" s="3">
        <f>IF(DAY(DimNov1)=1,DimNov1-1,DimNov1+6)</f>
        <v>45234</v>
      </c>
      <c r="AS11" s="3">
        <f>IF(DAY(DimNov1)=1,DimNov1,DimNov1+7)</f>
        <v>45235</v>
      </c>
      <c r="AU11" s="5" t="str">
        <f>CONCATENATE("s. ",_xlfn.ISOWEEKNUM(AV11))</f>
        <v>s. 48</v>
      </c>
      <c r="AV11" s="3">
        <f>IF(DAY(DimDéc1)=1,DimDéc1-6,DimDéc1+1)</f>
        <v>45257</v>
      </c>
      <c r="AW11" s="3">
        <f>IF(DAY(DimDéc1)=1,DimDéc1-5,DimDéc1+2)</f>
        <v>45258</v>
      </c>
      <c r="AX11" s="3">
        <f>IF(DAY(DimDéc1)=1,DimDéc1-4,DimDéc1+3)</f>
        <v>45259</v>
      </c>
      <c r="AY11" s="3">
        <f>IF(DAY(DimDéc1)=1,DimDéc1-3,DimDéc1+4)</f>
        <v>45260</v>
      </c>
      <c r="AZ11" s="3">
        <f>IF(DAY(DimDéc1)=1,DimDéc1-2,DimDéc1+5)</f>
        <v>45261</v>
      </c>
      <c r="BA11" s="3">
        <f>IF(DAY(DimDéc1)=1,DimDéc1-1,DimDéc1+6)</f>
        <v>45262</v>
      </c>
      <c r="BB11" s="3">
        <f>IF(DAY(DimDéc1)=1,DimDéc1,DimDéc1+7)</f>
        <v>45263</v>
      </c>
    </row>
    <row r="12" spans="1:54" ht="16.5" customHeight="1" x14ac:dyDescent="0.25">
      <c r="B12" s="5" t="str">
        <f t="shared" ref="B12:B14" si="6">CONCATENATE("s. ",_xlfn.ISOWEEKNUM(C12))</f>
        <v>s. 10</v>
      </c>
      <c r="C12" s="3">
        <f>IF(DAY(DimMars1)=1,DimMars1+1,DimMars1+8)</f>
        <v>44991</v>
      </c>
      <c r="D12" s="3">
        <f>IF(DAY(DimMars1)=1,DimMars1+2,DimMars1+9)</f>
        <v>44992</v>
      </c>
      <c r="E12" s="3">
        <f>IF(DAY(DimMars1)=1,DimMars1+3,DimMars1+10)</f>
        <v>44993</v>
      </c>
      <c r="F12" s="3">
        <f>IF(DAY(DimMars1)=1,DimMars1+4,DimMars1+11)</f>
        <v>44994</v>
      </c>
      <c r="G12" s="3">
        <f>IF(DAY(DimMars1)=1,DimMars1+5,DimMars1+12)</f>
        <v>44995</v>
      </c>
      <c r="H12" s="3">
        <f>IF(DAY(DimMars1)=1,DimMars1+6,DimMars1+13)</f>
        <v>44996</v>
      </c>
      <c r="I12" s="3">
        <f>IF(DAY(DimMars1)=1,DimMars1+7,DimMars1+14)</f>
        <v>44997</v>
      </c>
      <c r="K12" s="5" t="str">
        <f t="shared" ref="K12:K14" si="7">CONCATENATE("s. ",_xlfn.ISOWEEKNUM(L12))</f>
        <v>s. 14</v>
      </c>
      <c r="L12" s="3">
        <f>IF(DAY(DimAvr1)=1,DimAvr1+1,DimAvr1+8)</f>
        <v>45019</v>
      </c>
      <c r="M12" s="3">
        <f>IF(DAY(DimAvr1)=1,DimAvr1+2,DimAvr1+9)</f>
        <v>45020</v>
      </c>
      <c r="N12" s="3">
        <f>IF(DAY(DimAvr1)=1,DimAvr1+3,DimAvr1+10)</f>
        <v>45021</v>
      </c>
      <c r="O12" s="3">
        <f>IF(DAY(DimAvr1)=1,DimAvr1+4,DimAvr1+11)</f>
        <v>45022</v>
      </c>
      <c r="P12" s="3">
        <f>IF(DAY(DimAvr1)=1,DimAvr1+5,DimAvr1+12)</f>
        <v>45023</v>
      </c>
      <c r="Q12" s="3">
        <f>IF(DAY(DimAvr1)=1,DimAvr1+6,DimAvr1+13)</f>
        <v>45024</v>
      </c>
      <c r="R12" s="3">
        <f>IF(DAY(DimAvr1)=1,DimAvr1+7,DimAvr1+14)</f>
        <v>45025</v>
      </c>
      <c r="T12" s="5" t="str">
        <f t="shared" ref="T12:T14" si="8">CONCATENATE("s. ",_xlfn.ISOWEEKNUM(U12))</f>
        <v>s. 27</v>
      </c>
      <c r="U12" s="3">
        <f>IF(DAY(DimJuil1)=1,DimJuil1+1,DimJuil1+8)</f>
        <v>45110</v>
      </c>
      <c r="V12" s="3">
        <f>IF(DAY(DimJuil1)=1,DimJuil1+2,DimJuil1+9)</f>
        <v>45111</v>
      </c>
      <c r="W12" s="3">
        <f>IF(DAY(DimJuil1)=1,DimJuil1+3,DimJuil1+10)</f>
        <v>45112</v>
      </c>
      <c r="X12" s="3">
        <f>IF(DAY(DimJuil1)=1,DimJuil1+4,DimJuil1+11)</f>
        <v>45113</v>
      </c>
      <c r="Y12" s="3">
        <f>IF(DAY(DimJuil1)=1,DimJuil1+5,DimJuil1+12)</f>
        <v>45114</v>
      </c>
      <c r="Z12" s="3">
        <f>IF(DAY(DimJuil1)=1,DimJuil1+6,DimJuil1+13)</f>
        <v>45115</v>
      </c>
      <c r="AA12" s="3">
        <f>IF(DAY(DimJuil1)=1,DimJuil1+7,DimJuil1+14)</f>
        <v>45116</v>
      </c>
      <c r="AC12" s="5" t="str">
        <f t="shared" ref="AC12:AC14" si="9">CONCATENATE("s. ",_xlfn.ISOWEEKNUM(AD12))</f>
        <v>s. 32</v>
      </c>
      <c r="AD12" s="3">
        <f>IF(DAY(DimAoût1)=1,DimAoût1+1,DimAoût1+8)</f>
        <v>45145</v>
      </c>
      <c r="AE12" s="3">
        <f>IF(DAY(DimAoût1)=1,DimAoût1+2,DimAoût1+9)</f>
        <v>45146</v>
      </c>
      <c r="AF12" s="3">
        <f>IF(DAY(DimAoût1)=1,DimAoût1+3,DimAoût1+10)</f>
        <v>45147</v>
      </c>
      <c r="AG12" s="3">
        <f>IF(DAY(DimAoût1)=1,DimAoût1+4,DimAoût1+11)</f>
        <v>45148</v>
      </c>
      <c r="AH12" s="3">
        <f>IF(DAY(DimAoût1)=1,DimAoût1+5,DimAoût1+12)</f>
        <v>45149</v>
      </c>
      <c r="AI12" s="3">
        <f>IF(DAY(DimAoût1)=1,DimAoût1+6,DimAoût1+13)</f>
        <v>45150</v>
      </c>
      <c r="AJ12" s="3">
        <f>IF(DAY(DimAoût1)=1,DimAoût1+7,DimAoût1+14)</f>
        <v>45151</v>
      </c>
      <c r="AL12" s="5" t="str">
        <f t="shared" ref="AL12:AL14" si="10">CONCATENATE("s. ",_xlfn.ISOWEEKNUM(AM12))</f>
        <v>s. 45</v>
      </c>
      <c r="AM12" s="3">
        <f>IF(DAY(DimNov1)=1,DimNov1+1,DimNov1+8)</f>
        <v>45236</v>
      </c>
      <c r="AN12" s="3">
        <f>IF(DAY(DimNov1)=1,DimNov1+2,DimNov1+9)</f>
        <v>45237</v>
      </c>
      <c r="AO12" s="3">
        <f>IF(DAY(DimNov1)=1,DimNov1+3,DimNov1+10)</f>
        <v>45238</v>
      </c>
      <c r="AP12" s="3">
        <f>IF(DAY(DimNov1)=1,DimNov1+4,DimNov1+11)</f>
        <v>45239</v>
      </c>
      <c r="AQ12" s="3">
        <f>IF(DAY(DimNov1)=1,DimNov1+5,DimNov1+12)</f>
        <v>45240</v>
      </c>
      <c r="AR12" s="3">
        <f>IF(DAY(DimNov1)=1,DimNov1+6,DimNov1+13)</f>
        <v>45241</v>
      </c>
      <c r="AS12" s="3">
        <f>IF(DAY(DimNov1)=1,DimNov1+7,DimNov1+14)</f>
        <v>45242</v>
      </c>
      <c r="AU12" s="5" t="str">
        <f t="shared" ref="AU12:AU14" si="11">CONCATENATE("s. ",_xlfn.ISOWEEKNUM(AV12))</f>
        <v>s. 49</v>
      </c>
      <c r="AV12" s="3">
        <f>IF(DAY(DimDéc1)=1,DimDéc1+1,DimDéc1+8)</f>
        <v>45264</v>
      </c>
      <c r="AW12" s="3">
        <f>IF(DAY(DimDéc1)=1,DimDéc1+2,DimDéc1+9)</f>
        <v>45265</v>
      </c>
      <c r="AX12" s="3">
        <f>IF(DAY(DimDéc1)=1,DimDéc1+3,DimDéc1+10)</f>
        <v>45266</v>
      </c>
      <c r="AY12" s="3">
        <f>IF(DAY(DimDéc1)=1,DimDéc1+4,DimDéc1+11)</f>
        <v>45267</v>
      </c>
      <c r="AZ12" s="3">
        <f>IF(DAY(DimDéc1)=1,DimDéc1+5,DimDéc1+12)</f>
        <v>45268</v>
      </c>
      <c r="BA12" s="3">
        <f>IF(DAY(DimDéc1)=1,DimDéc1+6,DimDéc1+13)</f>
        <v>45269</v>
      </c>
      <c r="BB12" s="3">
        <f>IF(DAY(DimDéc1)=1,DimDéc1+7,DimDéc1+14)</f>
        <v>45270</v>
      </c>
    </row>
    <row r="13" spans="1:54" ht="16.5" customHeight="1" x14ac:dyDescent="0.25">
      <c r="B13" s="5" t="str">
        <f t="shared" si="6"/>
        <v>s. 11</v>
      </c>
      <c r="C13" s="3">
        <f>IF(DAY(DimMars1)=1,DimMars1+8,DimMars1+15)</f>
        <v>44998</v>
      </c>
      <c r="D13" s="3">
        <f>IF(DAY(DimMars1)=1,DimMars1+9,DimMars1+16)</f>
        <v>44999</v>
      </c>
      <c r="E13" s="3">
        <f>IF(DAY(DimMars1)=1,DimMars1+10,DimMars1+17)</f>
        <v>45000</v>
      </c>
      <c r="F13" s="3">
        <f>IF(DAY(DimMars1)=1,DimMars1+11,DimMars1+18)</f>
        <v>45001</v>
      </c>
      <c r="G13" s="3">
        <f>IF(DAY(DimMars1)=1,DimMars1+12,DimMars1+19)</f>
        <v>45002</v>
      </c>
      <c r="H13" s="3">
        <f>IF(DAY(DimMars1)=1,DimMars1+13,DimMars1+20)</f>
        <v>45003</v>
      </c>
      <c r="I13" s="3">
        <f>IF(DAY(DimMars1)=1,DimMars1+14,DimMars1+21)</f>
        <v>45004</v>
      </c>
      <c r="K13" s="5" t="str">
        <f t="shared" si="7"/>
        <v>s. 15</v>
      </c>
      <c r="L13" s="3">
        <f>IF(DAY(DimAvr1)=1,DimAvr1+8,DimAvr1+15)</f>
        <v>45026</v>
      </c>
      <c r="M13" s="3">
        <f>IF(DAY(DimAvr1)=1,DimAvr1+9,DimAvr1+16)</f>
        <v>45027</v>
      </c>
      <c r="N13" s="3">
        <f>IF(DAY(DimAvr1)=1,DimAvr1+10,DimAvr1+17)</f>
        <v>45028</v>
      </c>
      <c r="O13" s="3">
        <f>IF(DAY(DimAvr1)=1,DimAvr1+11,DimAvr1+18)</f>
        <v>45029</v>
      </c>
      <c r="P13" s="3">
        <f>IF(DAY(DimAvr1)=1,DimAvr1+12,DimAvr1+19)</f>
        <v>45030</v>
      </c>
      <c r="Q13" s="3">
        <f>IF(DAY(DimAvr1)=1,DimAvr1+13,DimAvr1+20)</f>
        <v>45031</v>
      </c>
      <c r="R13" s="3">
        <f>IF(DAY(DimAvr1)=1,DimAvr1+14,DimAvr1+21)</f>
        <v>45032</v>
      </c>
      <c r="T13" s="5" t="str">
        <f t="shared" si="8"/>
        <v>s. 28</v>
      </c>
      <c r="U13" s="3">
        <f>IF(DAY(DimJuil1)=1,DimJuil1+8,DimJuil1+15)</f>
        <v>45117</v>
      </c>
      <c r="V13" s="3">
        <f>IF(DAY(DimJuil1)=1,DimJuil1+9,DimJuil1+16)</f>
        <v>45118</v>
      </c>
      <c r="W13" s="3">
        <f>IF(DAY(DimJuil1)=1,DimJuil1+10,DimJuil1+17)</f>
        <v>45119</v>
      </c>
      <c r="X13" s="3">
        <f>IF(DAY(DimJuil1)=1,DimJuil1+11,DimJuil1+18)</f>
        <v>45120</v>
      </c>
      <c r="Y13" s="3">
        <f>IF(DAY(DimJuil1)=1,DimJuil1+12,DimJuil1+19)</f>
        <v>45121</v>
      </c>
      <c r="Z13" s="3">
        <f>IF(DAY(DimJuil1)=1,DimJuil1+13,DimJuil1+20)</f>
        <v>45122</v>
      </c>
      <c r="AA13" s="3">
        <f>IF(DAY(DimJuil1)=1,DimJuil1+14,DimJuil1+21)</f>
        <v>45123</v>
      </c>
      <c r="AC13" s="5" t="str">
        <f t="shared" si="9"/>
        <v>s. 33</v>
      </c>
      <c r="AD13" s="3">
        <f>IF(DAY(DimAoût1)=1,DimAoût1+8,DimAoût1+15)</f>
        <v>45152</v>
      </c>
      <c r="AE13" s="3">
        <f>IF(DAY(DimAoût1)=1,DimAoût1+9,DimAoût1+16)</f>
        <v>45153</v>
      </c>
      <c r="AF13" s="3">
        <f>IF(DAY(DimAoût1)=1,DimAoût1+10,DimAoût1+17)</f>
        <v>45154</v>
      </c>
      <c r="AG13" s="3">
        <f>IF(DAY(DimAoût1)=1,DimAoût1+11,DimAoût1+18)</f>
        <v>45155</v>
      </c>
      <c r="AH13" s="3">
        <f>IF(DAY(DimAoût1)=1,DimAoût1+12,DimAoût1+19)</f>
        <v>45156</v>
      </c>
      <c r="AI13" s="3">
        <f>IF(DAY(DimAoût1)=1,DimAoût1+13,DimAoût1+20)</f>
        <v>45157</v>
      </c>
      <c r="AJ13" s="3">
        <f>IF(DAY(DimAoût1)=1,DimAoût1+14,DimAoût1+21)</f>
        <v>45158</v>
      </c>
      <c r="AL13" s="5" t="str">
        <f t="shared" si="10"/>
        <v>s. 46</v>
      </c>
      <c r="AM13" s="3">
        <f>IF(DAY(DimNov1)=1,DimNov1+8,DimNov1+15)</f>
        <v>45243</v>
      </c>
      <c r="AN13" s="3">
        <f>IF(DAY(DimNov1)=1,DimNov1+9,DimNov1+16)</f>
        <v>45244</v>
      </c>
      <c r="AO13" s="3">
        <f>IF(DAY(DimNov1)=1,DimNov1+10,DimNov1+17)</f>
        <v>45245</v>
      </c>
      <c r="AP13" s="3">
        <f>IF(DAY(DimNov1)=1,DimNov1+11,DimNov1+18)</f>
        <v>45246</v>
      </c>
      <c r="AQ13" s="3">
        <f>IF(DAY(DimNov1)=1,DimNov1+12,DimNov1+19)</f>
        <v>45247</v>
      </c>
      <c r="AR13" s="3">
        <f>IF(DAY(DimNov1)=1,DimNov1+13,DimNov1+20)</f>
        <v>45248</v>
      </c>
      <c r="AS13" s="3">
        <f>IF(DAY(DimNov1)=1,DimNov1+14,DimNov1+21)</f>
        <v>45249</v>
      </c>
      <c r="AU13" s="5" t="str">
        <f t="shared" si="11"/>
        <v>s. 50</v>
      </c>
      <c r="AV13" s="3">
        <f>IF(DAY(DimDéc1)=1,DimDéc1+8,DimDéc1+15)</f>
        <v>45271</v>
      </c>
      <c r="AW13" s="3">
        <f>IF(DAY(DimDéc1)=1,DimDéc1+9,DimDéc1+16)</f>
        <v>45272</v>
      </c>
      <c r="AX13" s="3">
        <f>IF(DAY(DimDéc1)=1,DimDéc1+10,DimDéc1+17)</f>
        <v>45273</v>
      </c>
      <c r="AY13" s="3">
        <f>IF(DAY(DimDéc1)=1,DimDéc1+11,DimDéc1+18)</f>
        <v>45274</v>
      </c>
      <c r="AZ13" s="3">
        <f>IF(DAY(DimDéc1)=1,DimDéc1+12,DimDéc1+19)</f>
        <v>45275</v>
      </c>
      <c r="BA13" s="3">
        <f>IF(DAY(DimDéc1)=1,DimDéc1+13,DimDéc1+20)</f>
        <v>45276</v>
      </c>
      <c r="BB13" s="3">
        <f>IF(DAY(DimDéc1)=1,DimDéc1+14,DimDéc1+21)</f>
        <v>45277</v>
      </c>
    </row>
    <row r="14" spans="1:54" ht="16.5" customHeight="1" x14ac:dyDescent="0.25">
      <c r="B14" s="5" t="str">
        <f t="shared" si="6"/>
        <v>s. 12</v>
      </c>
      <c r="C14" s="3">
        <f>IF(DAY(DimMars1)=1,DimMars1+15,DimMars1+22)</f>
        <v>45005</v>
      </c>
      <c r="D14" s="3">
        <f>IF(DAY(DimMars1)=1,DimMars1+16,DimMars1+23)</f>
        <v>45006</v>
      </c>
      <c r="E14" s="3">
        <f>IF(DAY(DimMars1)=1,DimMars1+17,DimMars1+24)</f>
        <v>45007</v>
      </c>
      <c r="F14" s="3">
        <f>IF(DAY(DimMars1)=1,DimMars1+18,DimMars1+25)</f>
        <v>45008</v>
      </c>
      <c r="G14" s="3">
        <f>IF(DAY(DimMars1)=1,DimMars1+19,DimMars1+26)</f>
        <v>45009</v>
      </c>
      <c r="H14" s="3">
        <f>IF(DAY(DimMars1)=1,DimMars1+20,DimMars1+27)</f>
        <v>45010</v>
      </c>
      <c r="I14" s="3">
        <f>IF(DAY(DimMars1)=1,DimMars1+21,DimMars1+28)</f>
        <v>45011</v>
      </c>
      <c r="K14" s="5" t="str">
        <f t="shared" si="7"/>
        <v>s. 16</v>
      </c>
      <c r="L14" s="3">
        <f>IF(DAY(DimAvr1)=1,DimAvr1+15,DimAvr1+22)</f>
        <v>45033</v>
      </c>
      <c r="M14" s="3">
        <f>IF(DAY(DimAvr1)=1,DimAvr1+16,DimAvr1+23)</f>
        <v>45034</v>
      </c>
      <c r="N14" s="3">
        <f>IF(DAY(DimAvr1)=1,DimAvr1+17,DimAvr1+24)</f>
        <v>45035</v>
      </c>
      <c r="O14" s="3">
        <f>IF(DAY(DimAvr1)=1,DimAvr1+18,DimAvr1+25)</f>
        <v>45036</v>
      </c>
      <c r="P14" s="3">
        <f>IF(DAY(DimAvr1)=1,DimAvr1+19,DimAvr1+26)</f>
        <v>45037</v>
      </c>
      <c r="Q14" s="3">
        <f>IF(DAY(DimAvr1)=1,DimAvr1+20,DimAvr1+27)</f>
        <v>45038</v>
      </c>
      <c r="R14" s="3">
        <f>IF(DAY(DimAvr1)=1,DimAvr1+21,DimAvr1+28)</f>
        <v>45039</v>
      </c>
      <c r="T14" s="5" t="str">
        <f t="shared" si="8"/>
        <v>s. 29</v>
      </c>
      <c r="U14" s="3">
        <f>IF(DAY(DimJuil1)=1,DimJuil1+15,DimJuil1+22)</f>
        <v>45124</v>
      </c>
      <c r="V14" s="3">
        <f>IF(DAY(DimJuil1)=1,DimJuil1+16,DimJuil1+23)</f>
        <v>45125</v>
      </c>
      <c r="W14" s="3">
        <f>IF(DAY(DimJuil1)=1,DimJuil1+17,DimJuil1+24)</f>
        <v>45126</v>
      </c>
      <c r="X14" s="3">
        <f>IF(DAY(DimJuil1)=1,DimJuil1+18,DimJuil1+25)</f>
        <v>45127</v>
      </c>
      <c r="Y14" s="3">
        <f>IF(DAY(DimJuil1)=1,DimJuil1+19,DimJuil1+26)</f>
        <v>45128</v>
      </c>
      <c r="Z14" s="3">
        <f>IF(DAY(DimJuil1)=1,DimJuil1+20,DimJuil1+27)</f>
        <v>45129</v>
      </c>
      <c r="AA14" s="3">
        <f>IF(DAY(DimJuil1)=1,DimJuil1+21,DimJuil1+28)</f>
        <v>45130</v>
      </c>
      <c r="AC14" s="5" t="str">
        <f t="shared" si="9"/>
        <v>s. 34</v>
      </c>
      <c r="AD14" s="3">
        <f>IF(DAY(DimAoût1)=1,DimAoût1+15,DimAoût1+22)</f>
        <v>45159</v>
      </c>
      <c r="AE14" s="3">
        <f>IF(DAY(DimAoût1)=1,DimAoût1+16,DimAoût1+23)</f>
        <v>45160</v>
      </c>
      <c r="AF14" s="3">
        <f>IF(DAY(DimAoût1)=1,DimAoût1+17,DimAoût1+24)</f>
        <v>45161</v>
      </c>
      <c r="AG14" s="3">
        <f>IF(DAY(DimAoût1)=1,DimAoût1+18,DimAoût1+25)</f>
        <v>45162</v>
      </c>
      <c r="AH14" s="3">
        <f>IF(DAY(DimAoût1)=1,DimAoût1+19,DimAoût1+26)</f>
        <v>45163</v>
      </c>
      <c r="AI14" s="3">
        <f>IF(DAY(DimAoût1)=1,DimAoût1+20,DimAoût1+27)</f>
        <v>45164</v>
      </c>
      <c r="AJ14" s="3">
        <f>IF(DAY(DimAoût1)=1,DimAoût1+21,DimAoût1+28)</f>
        <v>45165</v>
      </c>
      <c r="AL14" s="5" t="str">
        <f t="shared" si="10"/>
        <v>s. 47</v>
      </c>
      <c r="AM14" s="3">
        <f>IF(DAY(DimNov1)=1,DimNov1+15,DimNov1+22)</f>
        <v>45250</v>
      </c>
      <c r="AN14" s="3">
        <f>IF(DAY(DimNov1)=1,DimNov1+16,DimNov1+23)</f>
        <v>45251</v>
      </c>
      <c r="AO14" s="3">
        <f>IF(DAY(DimNov1)=1,DimNov1+17,DimNov1+24)</f>
        <v>45252</v>
      </c>
      <c r="AP14" s="3">
        <f>IF(DAY(DimNov1)=1,DimNov1+18,DimNov1+25)</f>
        <v>45253</v>
      </c>
      <c r="AQ14" s="3">
        <f>IF(DAY(DimNov1)=1,DimNov1+19,DimNov1+26)</f>
        <v>45254</v>
      </c>
      <c r="AR14" s="3">
        <f>IF(DAY(DimNov1)=1,DimNov1+20,DimNov1+27)</f>
        <v>45255</v>
      </c>
      <c r="AS14" s="3">
        <f>IF(DAY(DimNov1)=1,DimNov1+21,DimNov1+28)</f>
        <v>45256</v>
      </c>
      <c r="AU14" s="5" t="str">
        <f t="shared" si="11"/>
        <v>s. 51</v>
      </c>
      <c r="AV14" s="3">
        <f>IF(DAY(DimDéc1)=1,DimDéc1+15,DimDéc1+22)</f>
        <v>45278</v>
      </c>
      <c r="AW14" s="3">
        <f>IF(DAY(DimDéc1)=1,DimDéc1+16,DimDéc1+23)</f>
        <v>45279</v>
      </c>
      <c r="AX14" s="3">
        <f>IF(DAY(DimDéc1)=1,DimDéc1+17,DimDéc1+24)</f>
        <v>45280</v>
      </c>
      <c r="AY14" s="3">
        <f>IF(DAY(DimDéc1)=1,DimDéc1+18,DimDéc1+25)</f>
        <v>45281</v>
      </c>
      <c r="AZ14" s="3">
        <f>IF(DAY(DimDéc1)=1,DimDéc1+19,DimDéc1+26)</f>
        <v>45282</v>
      </c>
      <c r="BA14" s="3">
        <f>IF(DAY(DimDéc1)=1,DimDéc1+20,DimDéc1+27)</f>
        <v>45283</v>
      </c>
      <c r="BB14" s="3">
        <f>IF(DAY(DimDéc1)=1,DimDéc1+21,DimDéc1+28)</f>
        <v>45284</v>
      </c>
    </row>
    <row r="15" spans="1:54" ht="16.5" customHeight="1" x14ac:dyDescent="0.25">
      <c r="B15" s="5" t="str">
        <f>CONCATENATE("s. ",_xlfn.ISOWEEKNUM(C15))</f>
        <v>s. 13</v>
      </c>
      <c r="C15" s="3">
        <f>IF(DAY(DimMars1)=1,DimMars1+22,DimMars1+29)</f>
        <v>45012</v>
      </c>
      <c r="D15" s="3">
        <f>IF(DAY(DimMars1)=1,DimMars1+23,DimMars1+30)</f>
        <v>45013</v>
      </c>
      <c r="E15" s="3">
        <f>IF(DAY(DimMars1)=1,DimMars1+24,DimMars1+31)</f>
        <v>45014</v>
      </c>
      <c r="F15" s="3">
        <f>IF(DAY(DimMars1)=1,DimMars1+25,DimMars1+32)</f>
        <v>45015</v>
      </c>
      <c r="G15" s="3">
        <f>IF(DAY(DimMars1)=1,DimMars1+26,DimMars1+33)</f>
        <v>45016</v>
      </c>
      <c r="H15" s="3">
        <f>IF(DAY(DimMars1)=1,DimMars1+27,DimMars1+34)</f>
        <v>45017</v>
      </c>
      <c r="I15" s="3">
        <f>IF(DAY(DimMars1)=1,DimMars1+28,DimMars1+35)</f>
        <v>45018</v>
      </c>
      <c r="K15" s="5" t="str">
        <f>CONCATENATE("s. ",_xlfn.ISOWEEKNUM(L15))</f>
        <v>s. 17</v>
      </c>
      <c r="L15" s="3">
        <f>IF(DAY(DimAvr1)=1,DimAvr1+22,DimAvr1+29)</f>
        <v>45040</v>
      </c>
      <c r="M15" s="3">
        <f>IF(DAY(DimAvr1)=1,DimAvr1+23,DimAvr1+30)</f>
        <v>45041</v>
      </c>
      <c r="N15" s="3">
        <f>IF(DAY(DimAvr1)=1,DimAvr1+24,DimAvr1+31)</f>
        <v>45042</v>
      </c>
      <c r="O15" s="3">
        <f>IF(DAY(DimAvr1)=1,DimAvr1+25,DimAvr1+32)</f>
        <v>45043</v>
      </c>
      <c r="P15" s="3">
        <f>IF(DAY(DimAvr1)=1,DimAvr1+26,DimAvr1+33)</f>
        <v>45044</v>
      </c>
      <c r="Q15" s="3">
        <f>IF(DAY(DimAvr1)=1,DimAvr1+27,DimAvr1+34)</f>
        <v>45045</v>
      </c>
      <c r="R15" s="3">
        <f>IF(DAY(DimAvr1)=1,DimAvr1+28,DimAvr1+35)</f>
        <v>45046</v>
      </c>
      <c r="T15" s="5" t="str">
        <f>CONCATENATE("s. ",_xlfn.ISOWEEKNUM(U15))</f>
        <v>s. 30</v>
      </c>
      <c r="U15" s="3">
        <f>IF(DAY(DimJuil1)=1,DimJuil1+22,DimJuil1+29)</f>
        <v>45131</v>
      </c>
      <c r="V15" s="3">
        <f>IF(DAY(DimJuil1)=1,DimJuil1+23,DimJuil1+30)</f>
        <v>45132</v>
      </c>
      <c r="W15" s="3">
        <f>IF(DAY(DimJuil1)=1,DimJuil1+24,DimJuil1+31)</f>
        <v>45133</v>
      </c>
      <c r="X15" s="3">
        <f>IF(DAY(DimJuil1)=1,DimJuil1+25,DimJuil1+32)</f>
        <v>45134</v>
      </c>
      <c r="Y15" s="3">
        <f>IF(DAY(DimJuil1)=1,DimJuil1+26,DimJuil1+33)</f>
        <v>45135</v>
      </c>
      <c r="Z15" s="3">
        <f>IF(DAY(DimJuil1)=1,DimJuil1+27,DimJuil1+34)</f>
        <v>45136</v>
      </c>
      <c r="AA15" s="3">
        <f>IF(DAY(DimJuil1)=1,DimJuil1+28,DimJuil1+35)</f>
        <v>45137</v>
      </c>
      <c r="AC15" s="5" t="str">
        <f>CONCATENATE("s. ",_xlfn.ISOWEEKNUM(AD15))</f>
        <v>s. 35</v>
      </c>
      <c r="AD15" s="3">
        <f>IF(DAY(DimAoût1)=1,DimAoût1+22,DimAoût1+29)</f>
        <v>45166</v>
      </c>
      <c r="AE15" s="3">
        <f>IF(DAY(DimAoût1)=1,DimAoût1+23,DimAoût1+30)</f>
        <v>45167</v>
      </c>
      <c r="AF15" s="3">
        <f>IF(DAY(DimAoût1)=1,DimAoût1+24,DimAoût1+31)</f>
        <v>45168</v>
      </c>
      <c r="AG15" s="3">
        <f>IF(DAY(DimAoût1)=1,DimAoût1+25,DimAoût1+32)</f>
        <v>45169</v>
      </c>
      <c r="AH15" s="3">
        <f>IF(DAY(DimAoût1)=1,DimAoût1+26,DimAoût1+33)</f>
        <v>45170</v>
      </c>
      <c r="AI15" s="3">
        <f>IF(DAY(DimAoût1)=1,DimAoût1+27,DimAoût1+34)</f>
        <v>45171</v>
      </c>
      <c r="AJ15" s="3">
        <f>IF(DAY(DimAoût1)=1,DimAoût1+28,DimAoût1+35)</f>
        <v>45172</v>
      </c>
      <c r="AL15" s="5" t="str">
        <f>CONCATENATE("s. ",_xlfn.ISOWEEKNUM(AM15))</f>
        <v>s. 48</v>
      </c>
      <c r="AM15" s="3">
        <f>IF(DAY(DimNov1)=1,DimNov1+22,DimNov1+29)</f>
        <v>45257</v>
      </c>
      <c r="AN15" s="3">
        <f>IF(DAY(DimNov1)=1,DimNov1+23,DimNov1+30)</f>
        <v>45258</v>
      </c>
      <c r="AO15" s="3">
        <f>IF(DAY(DimNov1)=1,DimNov1+24,DimNov1+31)</f>
        <v>45259</v>
      </c>
      <c r="AP15" s="3">
        <f>IF(DAY(DimNov1)=1,DimNov1+25,DimNov1+32)</f>
        <v>45260</v>
      </c>
      <c r="AQ15" s="3">
        <f>IF(DAY(DimNov1)=1,DimNov1+26,DimNov1+33)</f>
        <v>45261</v>
      </c>
      <c r="AR15" s="3">
        <f>IF(DAY(DimNov1)=1,DimNov1+27,DimNov1+34)</f>
        <v>45262</v>
      </c>
      <c r="AS15" s="3">
        <f>IF(DAY(DimNov1)=1,DimNov1+28,DimNov1+35)</f>
        <v>45263</v>
      </c>
      <c r="AU15" s="5" t="str">
        <f>CONCATENATE("s. ",_xlfn.ISOWEEKNUM(AV15))</f>
        <v>s. 52</v>
      </c>
      <c r="AV15" s="3">
        <f>IF(DAY(DimDéc1)=1,DimDéc1+22,DimDéc1+29)</f>
        <v>45285</v>
      </c>
      <c r="AW15" s="3">
        <f>IF(DAY(DimDéc1)=1,DimDéc1+23,DimDéc1+30)</f>
        <v>45286</v>
      </c>
      <c r="AX15" s="3">
        <f>IF(DAY(DimDéc1)=1,DimDéc1+24,DimDéc1+31)</f>
        <v>45287</v>
      </c>
      <c r="AY15" s="3">
        <f>IF(DAY(DimDéc1)=1,DimDéc1+25,DimDéc1+32)</f>
        <v>45288</v>
      </c>
      <c r="AZ15" s="3">
        <f>IF(DAY(DimDéc1)=1,DimDéc1+26,DimDéc1+33)</f>
        <v>45289</v>
      </c>
      <c r="BA15" s="3">
        <f>IF(DAY(DimDéc1)=1,DimDéc1+27,DimDéc1+34)</f>
        <v>45290</v>
      </c>
      <c r="BB15" s="3">
        <f>IF(DAY(DimDéc1)=1,DimDéc1+28,DimDéc1+35)</f>
        <v>45291</v>
      </c>
    </row>
    <row r="16" spans="1:54" ht="16.5" customHeight="1" x14ac:dyDescent="0.25">
      <c r="B16" s="6" t="str">
        <f>CONCATENATE("s. ",_xlfn.ISOWEEKNUM(C16))</f>
        <v>s. 14</v>
      </c>
      <c r="C16" s="4">
        <f>IF(DAY(DimMars1)=1,DimMars1+29,DimMars1+36)</f>
        <v>45019</v>
      </c>
      <c r="D16" s="4">
        <f>IF(DAY(DimMars1)=1,DimMars1+30,DimMars1+37)</f>
        <v>45020</v>
      </c>
      <c r="E16" s="4">
        <f>IF(DAY(DimMars1)=1,DimMars1+31,DimMars1+38)</f>
        <v>45021</v>
      </c>
      <c r="F16" s="4">
        <f>IF(DAY(DimMars1)=1,DimMars1+32,DimMars1+39)</f>
        <v>45022</v>
      </c>
      <c r="G16" s="4">
        <f>IF(DAY(DimMars1)=1,DimMars1+33,DimMars1+40)</f>
        <v>45023</v>
      </c>
      <c r="H16" s="4">
        <f>IF(DAY(DimMars1)=1,DimMars1+34,DimMars1+41)</f>
        <v>45024</v>
      </c>
      <c r="I16" s="4">
        <f>IF(DAY(DimMars1)=1,DimMars1+35,DimMars1+42)</f>
        <v>45025</v>
      </c>
      <c r="K16" s="6" t="str">
        <f>CONCATENATE("s. ",_xlfn.ISOWEEKNUM(L16))</f>
        <v>s. 18</v>
      </c>
      <c r="L16" s="4">
        <f>IF(DAY(DimAvr1)=1,DimAvr1+29,DimAvr1+36)</f>
        <v>45047</v>
      </c>
      <c r="M16" s="4">
        <f>IF(DAY(DimAvr1)=1,DimAvr1+30,DimAvr1+37)</f>
        <v>45048</v>
      </c>
      <c r="N16" s="4">
        <f>IF(DAY(DimAvr1)=1,DimAvr1+31,DimAvr1+38)</f>
        <v>45049</v>
      </c>
      <c r="O16" s="4">
        <f>IF(DAY(DimAvr1)=1,DimAvr1+32,DimAvr1+39)</f>
        <v>45050</v>
      </c>
      <c r="P16" s="4">
        <f>IF(DAY(DimAvr1)=1,DimAvr1+33,DimAvr1+40)</f>
        <v>45051</v>
      </c>
      <c r="Q16" s="4">
        <f>IF(DAY(DimAvr1)=1,DimAvr1+34,DimAvr1+41)</f>
        <v>45052</v>
      </c>
      <c r="R16" s="4">
        <f>IF(DAY(DimAvr1)=1,DimAvr1+35,DimAvr1+42)</f>
        <v>45053</v>
      </c>
      <c r="T16" s="6" t="str">
        <f>CONCATENATE("s. ",_xlfn.ISOWEEKNUM(U16))</f>
        <v>s. 31</v>
      </c>
      <c r="U16" s="4">
        <f>IF(DAY(DimJuil1)=1,DimJuil1+29,DimJuil1+36)</f>
        <v>45138</v>
      </c>
      <c r="V16" s="4">
        <f>IF(DAY(DimJuil1)=1,DimJuil1+30,DimJuil1+37)</f>
        <v>45139</v>
      </c>
      <c r="W16" s="4">
        <f>IF(DAY(DimJuil1)=1,DimJuil1+31,DimJuil1+38)</f>
        <v>45140</v>
      </c>
      <c r="X16" s="4">
        <f>IF(DAY(DimJuil1)=1,DimJuil1+32,DimJuil1+39)</f>
        <v>45141</v>
      </c>
      <c r="Y16" s="4">
        <f>IF(DAY(DimJuil1)=1,DimJuil1+33,DimJuil1+40)</f>
        <v>45142</v>
      </c>
      <c r="Z16" s="4">
        <f>IF(DAY(DimJuil1)=1,DimJuil1+34,DimJuil1+41)</f>
        <v>45143</v>
      </c>
      <c r="AA16" s="4">
        <f>IF(DAY(DimJuil1)=1,DimJuil1+35,DimJuil1+42)</f>
        <v>45144</v>
      </c>
      <c r="AC16" s="6" t="str">
        <f>CONCATENATE("s. ",_xlfn.ISOWEEKNUM(AD16))</f>
        <v>s. 36</v>
      </c>
      <c r="AD16" s="4">
        <f>IF(DAY(DimAoût1)=1,DimAoût1+29,DimAoût1+36)</f>
        <v>45173</v>
      </c>
      <c r="AE16" s="4">
        <f>IF(DAY(DimAoût1)=1,DimAoût1+30,DimAoût1+37)</f>
        <v>45174</v>
      </c>
      <c r="AF16" s="4">
        <f>IF(DAY(DimAoût1)=1,DimAoût1+31,DimAoût1+38)</f>
        <v>45175</v>
      </c>
      <c r="AG16" s="4">
        <f>IF(DAY(DimAoût1)=1,DimAoût1+32,DimAoût1+39)</f>
        <v>45176</v>
      </c>
      <c r="AH16" s="4">
        <f>IF(DAY(DimAoût1)=1,DimAoût1+33,DimAoût1+40)</f>
        <v>45177</v>
      </c>
      <c r="AI16" s="4">
        <f>IF(DAY(DimAoût1)=1,DimAoût1+34,DimAoût1+41)</f>
        <v>45178</v>
      </c>
      <c r="AJ16" s="4">
        <f>IF(DAY(DimAoût1)=1,DimAoût1+35,DimAoût1+42)</f>
        <v>45179</v>
      </c>
      <c r="AL16" s="6" t="str">
        <f>CONCATENATE("s. ",_xlfn.ISOWEEKNUM(AM16))</f>
        <v>s. 49</v>
      </c>
      <c r="AM16" s="4">
        <f>IF(DAY(DimNov1)=1,DimNov1+29,DimNov1+36)</f>
        <v>45264</v>
      </c>
      <c r="AN16" s="4">
        <f>IF(DAY(DimNov1)=1,DimNov1+30,DimNov1+37)</f>
        <v>45265</v>
      </c>
      <c r="AO16" s="4">
        <f>IF(DAY(DimNov1)=1,DimNov1+31,DimNov1+38)</f>
        <v>45266</v>
      </c>
      <c r="AP16" s="4">
        <f>IF(DAY(DimNov1)=1,DimNov1+32,DimNov1+39)</f>
        <v>45267</v>
      </c>
      <c r="AQ16" s="4">
        <f>IF(DAY(DimNov1)=1,DimNov1+33,DimNov1+40)</f>
        <v>45268</v>
      </c>
      <c r="AR16" s="4">
        <f>IF(DAY(DimNov1)=1,DimNov1+34,DimNov1+41)</f>
        <v>45269</v>
      </c>
      <c r="AS16" s="4">
        <f>IF(DAY(DimNov1)=1,DimNov1+35,DimNov1+42)</f>
        <v>45270</v>
      </c>
      <c r="AU16" s="6" t="str">
        <f>CONCATENATE("s. ",_xlfn.ISOWEEKNUM(AV16))</f>
        <v>s. 1</v>
      </c>
      <c r="AV16" s="4">
        <f>IF(DAY(DimDéc1)=1,DimDéc1+29,DimDéc1+36)</f>
        <v>45292</v>
      </c>
      <c r="AW16" s="4">
        <f>IF(DAY(DimDéc1)=1,DimDéc1+30,DimDéc1+37)</f>
        <v>45293</v>
      </c>
      <c r="AX16" s="4">
        <f>IF(DAY(DimDéc1)=1,DimDéc1+31,DimDéc1+38)</f>
        <v>45294</v>
      </c>
      <c r="AY16" s="4">
        <f>IF(DAY(DimDéc1)=1,DimDéc1+32,DimDéc1+39)</f>
        <v>45295</v>
      </c>
      <c r="AZ16" s="4">
        <f>IF(DAY(DimDéc1)=1,DimDéc1+33,DimDéc1+40)</f>
        <v>45296</v>
      </c>
      <c r="BA16" s="4">
        <f>IF(DAY(DimDéc1)=1,DimDéc1+34,DimDéc1+41)</f>
        <v>45297</v>
      </c>
      <c r="BB16" s="4">
        <f>IF(DAY(DimDéc1)=1,DimDéc1+35,DimDéc1+42)</f>
        <v>45298</v>
      </c>
    </row>
    <row r="17" spans="2:54" ht="12" customHeight="1" x14ac:dyDescent="0.25">
      <c r="B17" s="38"/>
      <c r="C17" s="3"/>
      <c r="D17" s="3"/>
      <c r="E17" s="3"/>
      <c r="F17" s="3"/>
      <c r="G17" s="3"/>
      <c r="H17" s="3"/>
      <c r="I17" s="3"/>
      <c r="T17" s="38"/>
      <c r="U17" s="3"/>
      <c r="V17" s="3"/>
      <c r="W17" s="3"/>
      <c r="X17" s="3"/>
      <c r="Y17" s="3"/>
      <c r="Z17" s="3"/>
      <c r="AA17" s="3"/>
      <c r="AL17" s="38"/>
      <c r="AM17" s="3"/>
      <c r="AN17" s="3"/>
      <c r="AO17" s="3"/>
      <c r="AP17" s="3"/>
      <c r="AQ17" s="3"/>
      <c r="AR17" s="3"/>
      <c r="AS17" s="3"/>
    </row>
    <row r="18" spans="2:54" x14ac:dyDescent="0.25">
      <c r="B18" s="33" t="s">
        <v>198</v>
      </c>
      <c r="C18" s="33" t="s">
        <v>199</v>
      </c>
      <c r="D18" s="33" t="s">
        <v>200</v>
      </c>
      <c r="E18" s="33" t="s">
        <v>309</v>
      </c>
      <c r="F18" s="102" t="s">
        <v>308</v>
      </c>
      <c r="G18" s="188" t="s">
        <v>204</v>
      </c>
      <c r="H18" s="188"/>
      <c r="I18" s="188"/>
      <c r="J18" s="32"/>
      <c r="K18" s="102" t="s">
        <v>198</v>
      </c>
      <c r="L18" s="102" t="s">
        <v>199</v>
      </c>
      <c r="M18" s="102" t="s">
        <v>200</v>
      </c>
      <c r="N18" s="102" t="s">
        <v>309</v>
      </c>
      <c r="O18" s="102" t="s">
        <v>308</v>
      </c>
      <c r="P18" s="188" t="s">
        <v>204</v>
      </c>
      <c r="Q18" s="188"/>
      <c r="R18" s="188"/>
      <c r="T18" s="102" t="s">
        <v>198</v>
      </c>
      <c r="U18" s="102" t="s">
        <v>199</v>
      </c>
      <c r="V18" s="102" t="s">
        <v>200</v>
      </c>
      <c r="W18" s="102" t="s">
        <v>309</v>
      </c>
      <c r="X18" s="102" t="s">
        <v>308</v>
      </c>
      <c r="Y18" s="188" t="s">
        <v>204</v>
      </c>
      <c r="Z18" s="188"/>
      <c r="AA18" s="188"/>
      <c r="AB18" s="32"/>
      <c r="AC18" s="102" t="s">
        <v>198</v>
      </c>
      <c r="AD18" s="102" t="s">
        <v>199</v>
      </c>
      <c r="AE18" s="102" t="s">
        <v>200</v>
      </c>
      <c r="AF18" s="102" t="s">
        <v>309</v>
      </c>
      <c r="AG18" s="102" t="s">
        <v>308</v>
      </c>
      <c r="AH18" s="188" t="s">
        <v>204</v>
      </c>
      <c r="AI18" s="188"/>
      <c r="AJ18" s="188"/>
      <c r="AL18" s="102" t="s">
        <v>198</v>
      </c>
      <c r="AM18" s="102" t="s">
        <v>199</v>
      </c>
      <c r="AN18" s="102" t="s">
        <v>200</v>
      </c>
      <c r="AO18" s="102" t="s">
        <v>309</v>
      </c>
      <c r="AP18" s="102" t="s">
        <v>308</v>
      </c>
      <c r="AQ18" s="188" t="s">
        <v>204</v>
      </c>
      <c r="AR18" s="188"/>
      <c r="AS18" s="188"/>
      <c r="AT18" s="32"/>
      <c r="AU18" s="102" t="s">
        <v>198</v>
      </c>
      <c r="AV18" s="102" t="s">
        <v>199</v>
      </c>
      <c r="AW18" s="102" t="s">
        <v>200</v>
      </c>
      <c r="AX18" s="102" t="s">
        <v>309</v>
      </c>
      <c r="AY18" s="102" t="s">
        <v>308</v>
      </c>
      <c r="AZ18" s="188" t="s">
        <v>204</v>
      </c>
      <c r="BA18" s="188"/>
      <c r="BB18" s="188"/>
    </row>
    <row r="19" spans="2:54" ht="15" customHeight="1" x14ac:dyDescent="0.25">
      <c r="B19" s="42">
        <f>IFERROR(INDEX(ListeCours[],MATCH(tables!$A$35&amp;"."&amp;tables!C35&amp;"."&amp;Année,ListeCours[clé_date],0),3),"")</f>
        <v>44945</v>
      </c>
      <c r="C19" s="43">
        <f>IFERROR(INDEX(ListeCours[],MATCH(tables!$A$35&amp;"."&amp;tables!C35&amp;"."&amp;Année,ListeCours[clé_date],0),5),"")</f>
        <v>0.6875</v>
      </c>
      <c r="D19" s="43">
        <f>IFERROR(INDEX(ListeCours[],MATCH(tables!$A$35&amp;"."&amp;tables!C35&amp;"."&amp;Année,ListeCours[clé_date],0),6),"")</f>
        <v>0.70833333333333337</v>
      </c>
      <c r="E19" s="44" t="str">
        <f>IFERROR(INDEX(ListeCours[],MATCH(tables!$A$35&amp;"."&amp;tables!C35&amp;"."&amp;Année,ListeCours[clé_date],0),2),"")</f>
        <v>OUV.</v>
      </c>
      <c r="F19" s="156" t="str">
        <f>IFERROR(INDEX(ListeCours[],MATCH(tables!$A$35&amp;"."&amp;tables!C35&amp;"."&amp;Année,ListeCours[clé_date],0),16),"")</f>
        <v/>
      </c>
      <c r="G19" s="158" t="str">
        <f>IFERROR(INDEX(ListeCours[],MATCH(tables!$A$35&amp;"."&amp;tables!C35&amp;"."&amp;Année,ListeCours[clé_date],0),9),"")</f>
        <v>ouverture de session</v>
      </c>
      <c r="H19" s="156"/>
      <c r="I19" s="156"/>
      <c r="J19" s="40"/>
      <c r="K19" s="42">
        <f>IFERROR(INDEX(ListeCours[],MATCH(tables!$A$36&amp;"."&amp;tables!C35&amp;"."&amp;Année,ListeCours[clé_date],0),3),"")</f>
        <v>44959</v>
      </c>
      <c r="L19" s="43">
        <f>IFERROR(INDEX(ListeCours[],MATCH(tables!$A$36&amp;"."&amp;tables!C35&amp;"."&amp;Année,ListeCours[clé_date],0),5),"")</f>
        <v>0.70833333333333337</v>
      </c>
      <c r="M19" s="43">
        <f>IFERROR(INDEX(ListeCours[],MATCH(tables!$A$36&amp;"."&amp;tables!C35&amp;"."&amp;Année,ListeCours[clé_date],0),6),"")</f>
        <v>0.83333333333333337</v>
      </c>
      <c r="N19" s="44" t="str">
        <f>IFERROR(INDEX(ListeCours[],MATCH(tables!$A$36&amp;"."&amp;tables!C35&amp;"."&amp;Année,ListeCours[clé_date],0),2),"")</f>
        <v>M2.2</v>
      </c>
      <c r="O19" s="156" t="str">
        <f>IFERROR(INDEX(ListeCours[],MATCH(tables!$A$36&amp;"."&amp;tables!C35&amp;"."&amp;Année,ListeCours[clé_date],0),16),"")</f>
        <v>NAYLS</v>
      </c>
      <c r="P19" s="158">
        <f>IFERROR(INDEX(ListeCours[],MATCH(tables!$A$36&amp;"."&amp;tables!C35&amp;"."&amp;Année,ListeCours[clé_date],0),9),"")</f>
        <v>0</v>
      </c>
      <c r="Q19" s="156"/>
      <c r="R19" s="156"/>
      <c r="T19" s="42">
        <f>IFERROR(INDEX(ListeCours[],MATCH(tables!$A$39&amp;"."&amp;tables!C35&amp;"."&amp;Année,ListeCours[clé_date],0),3),"")</f>
        <v>45050</v>
      </c>
      <c r="U19" s="43">
        <f>IFERROR(INDEX(ListeCours[],MATCH(tables!$A$39&amp;"."&amp;tables!C35&amp;"."&amp;Année,ListeCours[clé_date],0),5),"")</f>
        <v>0.70833333333333337</v>
      </c>
      <c r="V19" s="43">
        <f>IFERROR(INDEX(ListeCours[],MATCH(tables!$A$39&amp;"."&amp;tables!C35&amp;"."&amp;Année,ListeCours[clé_date],0),6),"")</f>
        <v>0.75</v>
      </c>
      <c r="W19" s="44" t="str">
        <f>IFERROR(INDEX(ListeCours[],MATCH(tables!$A$39&amp;"."&amp;tables!C35&amp;"."&amp;Année,ListeCours[clé_date],0),2),"")</f>
        <v>M5.4</v>
      </c>
      <c r="X19" s="156" t="str">
        <f>IFERROR(INDEX(ListeCours[],MATCH(tables!$A$39&amp;"."&amp;tables!C35&amp;"."&amp;Année,ListeCours[clé_date],0),16),"")</f>
        <v>FERRA</v>
      </c>
      <c r="Y19" s="158">
        <f>IFERROR(INDEX(ListeCours[],MATCH(tables!$A$39&amp;"."&amp;tables!C35&amp;"."&amp;Année,ListeCours[clé_date],0),9),"")</f>
        <v>0</v>
      </c>
      <c r="Z19" s="156"/>
      <c r="AA19" s="156"/>
      <c r="AB19" s="40"/>
      <c r="AC19" s="42">
        <f>IFERROR(INDEX(ListeCours[],MATCH(tables!$A$40&amp;"."&amp;tables!C35&amp;"."&amp;Année,ListeCours[clé_date],0),3),"")</f>
        <v>45078</v>
      </c>
      <c r="AD19" s="43">
        <f>IFERROR(INDEX(ListeCours[],MATCH(tables!$A$40&amp;"."&amp;tables!C35&amp;"."&amp;Année,ListeCours[clé_date],0),5),"")</f>
        <v>0.70833333333333337</v>
      </c>
      <c r="AE19" s="43">
        <f>IFERROR(INDEX(ListeCours[],MATCH(tables!$A$40&amp;"."&amp;tables!C35&amp;"."&amp;Année,ListeCours[clé_date],0),6),"")</f>
        <v>0.83333333333333337</v>
      </c>
      <c r="AF19" s="44" t="str">
        <f>IFERROR(INDEX(ListeCours[],MATCH(tables!$A$40&amp;"."&amp;tables!C35&amp;"."&amp;Année,ListeCours[clé_date],0),2),"")</f>
        <v>M3.2</v>
      </c>
      <c r="AG19" s="156" t="str">
        <f>IFERROR(INDEX(ListeCours[],MATCH(tables!$A$40&amp;"."&amp;tables!C35&amp;"."&amp;Année,ListeCours[clé_date],0),16),"")</f>
        <v>COURL</v>
      </c>
      <c r="AH19" s="158">
        <f>IFERROR(INDEX(ListeCours[],MATCH(tables!$A$40&amp;"."&amp;tables!C35&amp;"."&amp;Année,ListeCours[clé_date],0),9),"")</f>
        <v>0</v>
      </c>
      <c r="AI19" s="156"/>
      <c r="AJ19" s="156"/>
      <c r="AL19" s="42">
        <f>IFERROR(INDEX(ListeCours[],MATCH(tables!$A$43&amp;"."&amp;tables!C35&amp;"."&amp;Année,ListeCours[clé_date],0),3),"")</f>
        <v>45170</v>
      </c>
      <c r="AM19" s="43">
        <f>IFERROR(INDEX(ListeCours[],MATCH(tables!$A$43&amp;"."&amp;tables!C35&amp;"."&amp;Année,ListeCours[clé_date],0),5),"")</f>
        <v>0.70833333333333337</v>
      </c>
      <c r="AN19" s="43">
        <f>IFERROR(INDEX(ListeCours[],MATCH(tables!$A$43&amp;"."&amp;tables!C35&amp;"."&amp;Année,ListeCours[clé_date],0),6),"")</f>
        <v>0.83333333333333337</v>
      </c>
      <c r="AO19" s="44" t="str">
        <f>IFERROR(INDEX(ListeCours[],MATCH(tables!$A$43&amp;"."&amp;tables!C35&amp;"."&amp;Année,ListeCours[clé_date],0),2),"")</f>
        <v>M6.3</v>
      </c>
      <c r="AP19" s="156" t="str">
        <f>IFERROR(INDEX(ListeCours[],MATCH(tables!$A$43&amp;"."&amp;tables!C35&amp;"."&amp;Année,ListeCours[clé_date],0),16),"")</f>
        <v>ETHEV</v>
      </c>
      <c r="AQ19" s="158">
        <f>IFERROR(INDEX(ListeCours[],MATCH(tables!$A$43&amp;"."&amp;tables!C35&amp;"."&amp;Année,ListeCours[clé_date],0),9),"")</f>
        <v>0</v>
      </c>
      <c r="AR19" s="156"/>
      <c r="AS19" s="156"/>
      <c r="AT19" s="40"/>
      <c r="AU19" s="42">
        <f>IFERROR(INDEX(ListeCours[],MATCH(tables!$A$44&amp;"."&amp;tables!C35&amp;"."&amp;Année,ListeCours[clé_date],0),3),"")</f>
        <v>45204</v>
      </c>
      <c r="AV19" s="43">
        <f>IFERROR(INDEX(ListeCours[],MATCH(tables!$A$44&amp;"."&amp;tables!C35&amp;"."&amp;Année,ListeCours[clé_date],0),5),"")</f>
        <v>0.66666666666666663</v>
      </c>
      <c r="AW19" s="43">
        <f>IFERROR(INDEX(ListeCours[],MATCH(tables!$A$44&amp;"."&amp;tables!C35&amp;"."&amp;Année,ListeCours[clé_date],0),6),"")</f>
        <v>0.83333333333333337</v>
      </c>
      <c r="AX19" s="44" t="str">
        <f>IFERROR(INDEX(ListeCours[],MATCH(tables!$A$44&amp;"."&amp;tables!C35&amp;"."&amp;Année,ListeCours[clé_date],0),2),"")</f>
        <v>M9</v>
      </c>
      <c r="AY19" s="156" t="str">
        <f>IFERROR(INDEX(ListeCours[],MATCH(tables!$A$44&amp;"."&amp;tables!C35&amp;"."&amp;Année,ListeCours[clé_date],0),16),"")</f>
        <v>CHEVR</v>
      </c>
      <c r="AZ19" s="158">
        <f>IFERROR(INDEX(ListeCours[],MATCH(tables!$A$44&amp;"."&amp;tables!C35&amp;"."&amp;Année,ListeCours[clé_date],0),9),"")</f>
        <v>0</v>
      </c>
      <c r="BA19" s="156"/>
      <c r="BB19" s="156"/>
    </row>
    <row r="20" spans="2:54" ht="15" customHeight="1" x14ac:dyDescent="0.25">
      <c r="B20" s="42">
        <f>IFERROR(INDEX(ListeCours[],MATCH(tables!$A$35&amp;"."&amp;tables!C36&amp;"."&amp;Année,ListeCours[clé_date],0),3),"")</f>
        <v>44945</v>
      </c>
      <c r="C20" s="43">
        <f>IFERROR(INDEX(ListeCours[],MATCH(tables!$A$35&amp;"."&amp;tables!C36&amp;"."&amp;Année,ListeCours[clé_date],0),5),"")</f>
        <v>0.70833333333333337</v>
      </c>
      <c r="D20" s="43">
        <f>IFERROR(INDEX(ListeCours[],MATCH(tables!$A$35&amp;"."&amp;tables!C36&amp;"."&amp;Année,ListeCours[clé_date],0),6),"")</f>
        <v>0.83333333333333337</v>
      </c>
      <c r="E20" s="44" t="str">
        <f>IFERROR(INDEX(ListeCours[],MATCH(tables!$A$35&amp;"."&amp;tables!C36&amp;"."&amp;Année,ListeCours[clé_date],0),2),"")</f>
        <v>M1.1</v>
      </c>
      <c r="F20" s="156" t="str">
        <f>IFERROR(INDEX(ListeCours[],MATCH(tables!$A$35&amp;"."&amp;tables!C36&amp;"."&amp;Année,ListeCours[clé_date],0),16),"")</f>
        <v>THIAW</v>
      </c>
      <c r="G20" s="158">
        <f>IFERROR(INDEX(ListeCours[],MATCH(tables!$A$35&amp;"."&amp;tables!C36&amp;"."&amp;Année,ListeCours[clé_date],0),9),"")</f>
        <v>0</v>
      </c>
      <c r="H20" s="156"/>
      <c r="I20" s="156"/>
      <c r="J20" s="41"/>
      <c r="K20" s="42">
        <f>IFERROR(INDEX(ListeCours[],MATCH(tables!$A$36&amp;"."&amp;tables!C36&amp;"."&amp;Année,ListeCours[clé_date],0),3),"")</f>
        <v>44960</v>
      </c>
      <c r="L20" s="43">
        <f>IFERROR(INDEX(ListeCours[],MATCH(tables!$A$36&amp;"."&amp;tables!C36&amp;"."&amp;Année,ListeCours[clé_date],0),5),"")</f>
        <v>0.66666666666666663</v>
      </c>
      <c r="M20" s="43">
        <f>IFERROR(INDEX(ListeCours[],MATCH(tables!$A$36&amp;"."&amp;tables!C36&amp;"."&amp;Année,ListeCours[clé_date],0),6),"")</f>
        <v>0.83333333333333337</v>
      </c>
      <c r="N20" s="44" t="str">
        <f>IFERROR(INDEX(ListeCours[],MATCH(tables!$A$36&amp;"."&amp;tables!C36&amp;"."&amp;Année,ListeCours[clé_date],0),2),"")</f>
        <v>M2.2</v>
      </c>
      <c r="O20" s="156" t="str">
        <f>IFERROR(INDEX(ListeCours[],MATCH(tables!$A$36&amp;"."&amp;tables!C36&amp;"."&amp;Année,ListeCours[clé_date],0),16),"")</f>
        <v>NAYLS</v>
      </c>
      <c r="P20" s="158">
        <f>IFERROR(INDEX(ListeCours[],MATCH(tables!$A$36&amp;"."&amp;tables!C36&amp;"."&amp;Année,ListeCours[clé_date],0),9),"")</f>
        <v>0</v>
      </c>
      <c r="Q20" s="156"/>
      <c r="R20" s="156"/>
      <c r="T20" s="42">
        <f>IFERROR(INDEX(ListeCours[],MATCH(tables!$A$39&amp;"."&amp;tables!C36&amp;"."&amp;Année,ListeCours[clé_date],0),3),"")</f>
        <v>45050</v>
      </c>
      <c r="U20" s="43">
        <f>IFERROR(INDEX(ListeCours[],MATCH(tables!$A$39&amp;"."&amp;tables!C36&amp;"."&amp;Année,ListeCours[clé_date],0),5),"")</f>
        <v>0.75</v>
      </c>
      <c r="V20" s="43">
        <f>IFERROR(INDEX(ListeCours[],MATCH(tables!$A$39&amp;"."&amp;tables!C36&amp;"."&amp;Année,ListeCours[clé_date],0),6),"")</f>
        <v>0.83333333333333337</v>
      </c>
      <c r="W20" s="44" t="str">
        <f>IFERROR(INDEX(ListeCours[],MATCH(tables!$A$39&amp;"."&amp;tables!C36&amp;"."&amp;Année,ListeCours[clé_date],0),2),"")</f>
        <v>M6.1</v>
      </c>
      <c r="X20" s="156" t="str">
        <f>IFERROR(INDEX(ListeCours[],MATCH(tables!$A$39&amp;"."&amp;tables!C36&amp;"."&amp;Année,ListeCours[clé_date],0),16),"")</f>
        <v>FERRA</v>
      </c>
      <c r="Y20" s="158">
        <f>IFERROR(INDEX(ListeCours[],MATCH(tables!$A$39&amp;"."&amp;tables!C36&amp;"."&amp;Année,ListeCours[clé_date],0),9),"")</f>
        <v>0</v>
      </c>
      <c r="Z20" s="156"/>
      <c r="AA20" s="156"/>
      <c r="AB20" s="41"/>
      <c r="AC20" s="42">
        <f>IFERROR(INDEX(ListeCours[],MATCH(tables!$A$40&amp;"."&amp;tables!C36&amp;"."&amp;Année,ListeCours[clé_date],0),3),"")</f>
        <v>45079</v>
      </c>
      <c r="AD20" s="43">
        <f>IFERROR(INDEX(ListeCours[],MATCH(tables!$A$40&amp;"."&amp;tables!C36&amp;"."&amp;Année,ListeCours[clé_date],0),5),"")</f>
        <v>0.70833333333333337</v>
      </c>
      <c r="AE20" s="43">
        <f>IFERROR(INDEX(ListeCours[],MATCH(tables!$A$40&amp;"."&amp;tables!C36&amp;"."&amp;Année,ListeCours[clé_date],0),6),"")</f>
        <v>0.83333333333333337</v>
      </c>
      <c r="AF20" s="44" t="str">
        <f>IFERROR(INDEX(ListeCours[],MATCH(tables!$A$40&amp;"."&amp;tables!C36&amp;"."&amp;Année,ListeCours[clé_date],0),2),"")</f>
        <v>M3.2</v>
      </c>
      <c r="AG20" s="156" t="str">
        <f>IFERROR(INDEX(ListeCours[],MATCH(tables!$A$40&amp;"."&amp;tables!C36&amp;"."&amp;Année,ListeCours[clé_date],0),16),"")</f>
        <v>COURL</v>
      </c>
      <c r="AH20" s="158">
        <f>IFERROR(INDEX(ListeCours[],MATCH(tables!$A$40&amp;"."&amp;tables!C36&amp;"."&amp;Année,ListeCours[clé_date],0),9),"")</f>
        <v>0</v>
      </c>
      <c r="AI20" s="156"/>
      <c r="AJ20" s="156"/>
      <c r="AL20" s="42">
        <f>IFERROR(INDEX(ListeCours[],MATCH(tables!$A$43&amp;"."&amp;tables!C36&amp;"."&amp;Année,ListeCours[clé_date],0),3),"")</f>
        <v>45171</v>
      </c>
      <c r="AM20" s="43">
        <f>IFERROR(INDEX(ListeCours[],MATCH(tables!$A$43&amp;"."&amp;tables!C36&amp;"."&amp;Année,ListeCours[clé_date],0),5),"")</f>
        <v>0.33333333333333331</v>
      </c>
      <c r="AN20" s="43">
        <f>IFERROR(INDEX(ListeCours[],MATCH(tables!$A$43&amp;"."&amp;tables!C36&amp;"."&amp;Année,ListeCours[clé_date],0),6),"")</f>
        <v>0.5</v>
      </c>
      <c r="AO20" s="44" t="str">
        <f>IFERROR(INDEX(ListeCours[],MATCH(tables!$A$43&amp;"."&amp;tables!C36&amp;"."&amp;Année,ListeCours[clé_date],0),2),"")</f>
        <v>M6.3</v>
      </c>
      <c r="AP20" s="156" t="str">
        <f>IFERROR(INDEX(ListeCours[],MATCH(tables!$A$43&amp;"."&amp;tables!C36&amp;"."&amp;Année,ListeCours[clé_date],0),16),"")</f>
        <v>ETHEV</v>
      </c>
      <c r="AQ20" s="158">
        <f>IFERROR(INDEX(ListeCours[],MATCH(tables!$A$43&amp;"."&amp;tables!C36&amp;"."&amp;Année,ListeCours[clé_date],0),9),"")</f>
        <v>0</v>
      </c>
      <c r="AR20" s="156"/>
      <c r="AS20" s="156"/>
      <c r="AT20" s="41"/>
      <c r="AU20" s="42">
        <f>IFERROR(INDEX(ListeCours[],MATCH(tables!$A$44&amp;"."&amp;tables!C36&amp;"."&amp;Année,ListeCours[clé_date],0),3),"")</f>
        <v>45205</v>
      </c>
      <c r="AV20" s="43">
        <f>IFERROR(INDEX(ListeCours[],MATCH(tables!$A$44&amp;"."&amp;tables!C36&amp;"."&amp;Année,ListeCours[clé_date],0),5),"")</f>
        <v>0.66666666666666663</v>
      </c>
      <c r="AW20" s="43">
        <f>IFERROR(INDEX(ListeCours[],MATCH(tables!$A$44&amp;"."&amp;tables!C36&amp;"."&amp;Année,ListeCours[clé_date],0),6),"")</f>
        <v>0.83333333333333337</v>
      </c>
      <c r="AX20" s="44" t="str">
        <f>IFERROR(INDEX(ListeCours[],MATCH(tables!$A$44&amp;"."&amp;tables!C36&amp;"."&amp;Année,ListeCours[clé_date],0),2),"")</f>
        <v>M9</v>
      </c>
      <c r="AY20" s="156" t="str">
        <f>IFERROR(INDEX(ListeCours[],MATCH(tables!$A$44&amp;"."&amp;tables!C36&amp;"."&amp;Année,ListeCours[clé_date],0),16),"")</f>
        <v>CHEVR</v>
      </c>
      <c r="AZ20" s="158">
        <f>IFERROR(INDEX(ListeCours[],MATCH(tables!$A$44&amp;"."&amp;tables!C36&amp;"."&amp;Année,ListeCours[clé_date],0),9),"")</f>
        <v>0</v>
      </c>
      <c r="BA20" s="156"/>
      <c r="BB20" s="156"/>
    </row>
    <row r="21" spans="2:54" ht="15" customHeight="1" x14ac:dyDescent="0.25">
      <c r="B21" s="42">
        <f>IFERROR(INDEX(ListeCours[],MATCH(tables!$A$35&amp;"."&amp;tables!C37&amp;"."&amp;Année,ListeCours[clé_date],0),3),"")</f>
        <v>44946</v>
      </c>
      <c r="C21" s="43">
        <f>IFERROR(INDEX(ListeCours[],MATCH(tables!$A$35&amp;"."&amp;tables!C37&amp;"."&amp;Année,ListeCours[clé_date],0),5),"")</f>
        <v>0.66666666666666663</v>
      </c>
      <c r="D21" s="43">
        <f>IFERROR(INDEX(ListeCours[],MATCH(tables!$A$35&amp;"."&amp;tables!C37&amp;"."&amp;Année,ListeCours[clé_date],0),6),"")</f>
        <v>0.83333333333333337</v>
      </c>
      <c r="E21" s="44" t="str">
        <f>IFERROR(INDEX(ListeCours[],MATCH(tables!$A$35&amp;"."&amp;tables!C37&amp;"."&amp;Année,ListeCours[clé_date],0),2),"")</f>
        <v>M1.1</v>
      </c>
      <c r="F21" s="156" t="str">
        <f>IFERROR(INDEX(ListeCours[],MATCH(tables!$A$35&amp;"."&amp;tables!C37&amp;"."&amp;Année,ListeCours[clé_date],0),16),"")</f>
        <v>THIAW</v>
      </c>
      <c r="G21" s="158">
        <f>IFERROR(INDEX(ListeCours[],MATCH(tables!$A$35&amp;"."&amp;tables!C37&amp;"."&amp;Année,ListeCours[clé_date],0),9),"")</f>
        <v>0</v>
      </c>
      <c r="H21" s="156"/>
      <c r="I21" s="156"/>
      <c r="J21" s="41"/>
      <c r="K21" s="42">
        <f>IFERROR(INDEX(ListeCours[],MATCH(tables!$A$36&amp;"."&amp;tables!C37&amp;"."&amp;Année,ListeCours[clé_date],0),3),"")</f>
        <v>44961</v>
      </c>
      <c r="L21" s="43">
        <f>IFERROR(INDEX(ListeCours[],MATCH(tables!$A$36&amp;"."&amp;tables!C37&amp;"."&amp;Année,ListeCours[clé_date],0),5),"")</f>
        <v>0.33333333333333331</v>
      </c>
      <c r="M21" s="43">
        <f>IFERROR(INDEX(ListeCours[],MATCH(tables!$A$36&amp;"."&amp;tables!C37&amp;"."&amp;Année,ListeCours[clé_date],0),6),"")</f>
        <v>0.5</v>
      </c>
      <c r="N21" s="44" t="str">
        <f>IFERROR(INDEX(ListeCours[],MATCH(tables!$A$36&amp;"."&amp;tables!C37&amp;"."&amp;Année,ListeCours[clé_date],0),2),"")</f>
        <v>M2.2</v>
      </c>
      <c r="O21" s="156" t="str">
        <f>IFERROR(INDEX(ListeCours[],MATCH(tables!$A$36&amp;"."&amp;tables!C37&amp;"."&amp;Année,ListeCours[clé_date],0),16),"")</f>
        <v>NAYLS</v>
      </c>
      <c r="P21" s="158">
        <f>IFERROR(INDEX(ListeCours[],MATCH(tables!$A$36&amp;"."&amp;tables!C37&amp;"."&amp;Année,ListeCours[clé_date],0),9),"")</f>
        <v>0</v>
      </c>
      <c r="Q21" s="156"/>
      <c r="R21" s="156"/>
      <c r="T21" s="42">
        <f>IFERROR(INDEX(ListeCours[],MATCH(tables!$A$39&amp;"."&amp;tables!C37&amp;"."&amp;Année,ListeCours[clé_date],0),3),"")</f>
        <v>45051</v>
      </c>
      <c r="U21" s="43">
        <f>IFERROR(INDEX(ListeCours[],MATCH(tables!$A$39&amp;"."&amp;tables!C37&amp;"."&amp;Année,ListeCours[clé_date],0),5),"")</f>
        <v>0.70833333333333337</v>
      </c>
      <c r="V21" s="43">
        <f>IFERROR(INDEX(ListeCours[],MATCH(tables!$A$39&amp;"."&amp;tables!C37&amp;"."&amp;Année,ListeCours[clé_date],0),6),"")</f>
        <v>0.83333333333333337</v>
      </c>
      <c r="W21" s="44" t="str">
        <f>IFERROR(INDEX(ListeCours[],MATCH(tables!$A$39&amp;"."&amp;tables!C37&amp;"."&amp;Année,ListeCours[clé_date],0),2),"")</f>
        <v>M6.1</v>
      </c>
      <c r="X21" s="156" t="str">
        <f>IFERROR(INDEX(ListeCours[],MATCH(tables!$A$39&amp;"."&amp;tables!C37&amp;"."&amp;Année,ListeCours[clé_date],0),16),"")</f>
        <v>FERRA</v>
      </c>
      <c r="Y21" s="158">
        <f>IFERROR(INDEX(ListeCours[],MATCH(tables!$A$39&amp;"."&amp;tables!C37&amp;"."&amp;Année,ListeCours[clé_date],0),9),"")</f>
        <v>0</v>
      </c>
      <c r="Z21" s="156"/>
      <c r="AA21" s="156"/>
      <c r="AB21" s="41"/>
      <c r="AC21" s="42">
        <f>IFERROR(INDEX(ListeCours[],MATCH(tables!$A$40&amp;"."&amp;tables!C37&amp;"."&amp;Année,ListeCours[clé_date],0),3),"")</f>
        <v>45085</v>
      </c>
      <c r="AD21" s="43">
        <f>IFERROR(INDEX(ListeCours[],MATCH(tables!$A$40&amp;"."&amp;tables!C37&amp;"."&amp;Année,ListeCours[clé_date],0),5),"")</f>
        <v>0.75</v>
      </c>
      <c r="AE21" s="43">
        <f>IFERROR(INDEX(ListeCours[],MATCH(tables!$A$40&amp;"."&amp;tables!C37&amp;"."&amp;Année,ListeCours[clé_date],0),6),"")</f>
        <v>0.83333333333333337</v>
      </c>
      <c r="AF21" s="44" t="str">
        <f>IFERROR(INDEX(ListeCours[],MATCH(tables!$A$40&amp;"."&amp;tables!C37&amp;"."&amp;Année,ListeCours[clé_date],0),2),"")</f>
        <v>M6.4</v>
      </c>
      <c r="AG21" s="156" t="str">
        <f>IFERROR(INDEX(ListeCours[],MATCH(tables!$A$40&amp;"."&amp;tables!C37&amp;"."&amp;Année,ListeCours[clé_date],0),16),"")</f>
        <v>COURL</v>
      </c>
      <c r="AH21" s="158">
        <f>IFERROR(INDEX(ListeCours[],MATCH(tables!$A$40&amp;"."&amp;tables!C37&amp;"."&amp;Année,ListeCours[clé_date],0),9),"")</f>
        <v>0</v>
      </c>
      <c r="AI21" s="156"/>
      <c r="AJ21" s="156"/>
      <c r="AL21" s="42">
        <f>IFERROR(INDEX(ListeCours[],MATCH(tables!$A$43&amp;"."&amp;tables!C37&amp;"."&amp;Année,ListeCours[clé_date],0),3),"")</f>
        <v>45176</v>
      </c>
      <c r="AM21" s="43">
        <f>IFERROR(INDEX(ListeCours[],MATCH(tables!$A$43&amp;"."&amp;tables!C37&amp;"."&amp;Année,ListeCours[clé_date],0),5),"")</f>
        <v>0.70833333333333337</v>
      </c>
      <c r="AN21" s="43">
        <f>IFERROR(INDEX(ListeCours[],MATCH(tables!$A$43&amp;"."&amp;tables!C37&amp;"."&amp;Année,ListeCours[clé_date],0),6),"")</f>
        <v>0.83333333333333337</v>
      </c>
      <c r="AO21" s="44" t="str">
        <f>IFERROR(INDEX(ListeCours[],MATCH(tables!$A$43&amp;"."&amp;tables!C37&amp;"."&amp;Année,ListeCours[clé_date],0),2),"")</f>
        <v>M6.3</v>
      </c>
      <c r="AP21" s="156" t="str">
        <f>IFERROR(INDEX(ListeCours[],MATCH(tables!$A$43&amp;"."&amp;tables!C37&amp;"."&amp;Année,ListeCours[clé_date],0),16),"")</f>
        <v>ETHEV</v>
      </c>
      <c r="AQ21" s="158">
        <f>IFERROR(INDEX(ListeCours[],MATCH(tables!$A$43&amp;"."&amp;tables!C37&amp;"."&amp;Année,ListeCours[clé_date],0),9),"")</f>
        <v>0</v>
      </c>
      <c r="AR21" s="156"/>
      <c r="AS21" s="156"/>
      <c r="AT21" s="41"/>
      <c r="AU21" s="42">
        <f>IFERROR(INDEX(ListeCours[],MATCH(tables!$A$44&amp;"."&amp;tables!C37&amp;"."&amp;Année,ListeCours[clé_date],0),3),"")</f>
        <v>45206</v>
      </c>
      <c r="AV21" s="43">
        <f>IFERROR(INDEX(ListeCours[],MATCH(tables!$A$44&amp;"."&amp;tables!C37&amp;"."&amp;Année,ListeCours[clé_date],0),5),"")</f>
        <v>0.33333333333333331</v>
      </c>
      <c r="AW21" s="43">
        <f>IFERROR(INDEX(ListeCours[],MATCH(tables!$A$44&amp;"."&amp;tables!C37&amp;"."&amp;Année,ListeCours[clé_date],0),6),"")</f>
        <v>0.5</v>
      </c>
      <c r="AX21" s="44" t="str">
        <f>IFERROR(INDEX(ListeCours[],MATCH(tables!$A$44&amp;"."&amp;tables!C37&amp;"."&amp;Année,ListeCours[clé_date],0),2),"")</f>
        <v>M9</v>
      </c>
      <c r="AY21" s="156" t="str">
        <f>IFERROR(INDEX(ListeCours[],MATCH(tables!$A$44&amp;"."&amp;tables!C37&amp;"."&amp;Année,ListeCours[clé_date],0),16),"")</f>
        <v>CHEVR</v>
      </c>
      <c r="AZ21" s="158">
        <f>IFERROR(INDEX(ListeCours[],MATCH(tables!$A$44&amp;"."&amp;tables!C37&amp;"."&amp;Année,ListeCours[clé_date],0),9),"")</f>
        <v>0</v>
      </c>
      <c r="BA21" s="156"/>
      <c r="BB21" s="156"/>
    </row>
    <row r="22" spans="2:54" ht="15" customHeight="1" x14ac:dyDescent="0.25">
      <c r="B22" s="42">
        <f>IFERROR(INDEX(ListeCours[],MATCH(tables!$A$35&amp;"."&amp;tables!C38&amp;"."&amp;Année,ListeCours[clé_date],0),3),"")</f>
        <v>44947</v>
      </c>
      <c r="C22" s="43">
        <f>IFERROR(INDEX(ListeCours[],MATCH(tables!$A$35&amp;"."&amp;tables!C38&amp;"."&amp;Année,ListeCours[clé_date],0),5),"")</f>
        <v>0.33333333333333331</v>
      </c>
      <c r="D22" s="43">
        <f>IFERROR(INDEX(ListeCours[],MATCH(tables!$A$35&amp;"."&amp;tables!C38&amp;"."&amp;Année,ListeCours[clé_date],0),6),"")</f>
        <v>0.5</v>
      </c>
      <c r="E22" s="44" t="str">
        <f>IFERROR(INDEX(ListeCours[],MATCH(tables!$A$35&amp;"."&amp;tables!C38&amp;"."&amp;Année,ListeCours[clé_date],0),2),"")</f>
        <v>M1.1</v>
      </c>
      <c r="F22" s="156" t="str">
        <f>IFERROR(INDEX(ListeCours[],MATCH(tables!$A$35&amp;"."&amp;tables!C38&amp;"."&amp;Année,ListeCours[clé_date],0),16),"")</f>
        <v>THIAW</v>
      </c>
      <c r="G22" s="158">
        <f>IFERROR(INDEX(ListeCours[],MATCH(tables!$A$35&amp;"."&amp;tables!C38&amp;"."&amp;Année,ListeCours[clé_date],0),9),"")</f>
        <v>0</v>
      </c>
      <c r="H22" s="156"/>
      <c r="I22" s="156"/>
      <c r="J22" s="41"/>
      <c r="K22" s="42">
        <f>IFERROR(INDEX(ListeCours[],MATCH(tables!$A$36&amp;"."&amp;tables!C38&amp;"."&amp;Année,ListeCours[clé_date],0),3),"")</f>
        <v>44966</v>
      </c>
      <c r="L22" s="43">
        <f>IFERROR(INDEX(ListeCours[],MATCH(tables!$A$36&amp;"."&amp;tables!C38&amp;"."&amp;Année,ListeCours[clé_date],0),5),"")</f>
        <v>0.70833333333333337</v>
      </c>
      <c r="M22" s="43">
        <f>IFERROR(INDEX(ListeCours[],MATCH(tables!$A$36&amp;"."&amp;tables!C38&amp;"."&amp;Année,ListeCours[clé_date],0),6),"")</f>
        <v>0.83333333333333337</v>
      </c>
      <c r="N22" s="44" t="str">
        <f>IFERROR(INDEX(ListeCours[],MATCH(tables!$A$36&amp;"."&amp;tables!C38&amp;"."&amp;Année,ListeCours[clé_date],0),2),"")</f>
        <v>M3.1</v>
      </c>
      <c r="O22" s="156" t="str">
        <f>IFERROR(INDEX(ListeCours[],MATCH(tables!$A$36&amp;"."&amp;tables!C38&amp;"."&amp;Année,ListeCours[clé_date],0),16),"")</f>
        <v>COURL</v>
      </c>
      <c r="P22" s="158">
        <f>IFERROR(INDEX(ListeCours[],MATCH(tables!$A$36&amp;"."&amp;tables!C38&amp;"."&amp;Année,ListeCours[clé_date],0),9),"")</f>
        <v>0</v>
      </c>
      <c r="Q22" s="156"/>
      <c r="R22" s="156"/>
      <c r="T22" s="42">
        <f>IFERROR(INDEX(ListeCours[],MATCH(tables!$A$39&amp;"."&amp;tables!C38&amp;"."&amp;Année,ListeCours[clé_date],0),3),"")</f>
        <v>45052</v>
      </c>
      <c r="U22" s="43">
        <f>IFERROR(INDEX(ListeCours[],MATCH(tables!$A$39&amp;"."&amp;tables!C38&amp;"."&amp;Année,ListeCours[clé_date],0),5),"")</f>
        <v>0.33333333333333331</v>
      </c>
      <c r="V22" s="43">
        <f>IFERROR(INDEX(ListeCours[],MATCH(tables!$A$39&amp;"."&amp;tables!C38&amp;"."&amp;Année,ListeCours[clé_date],0),6),"")</f>
        <v>0.5</v>
      </c>
      <c r="W22" s="44" t="str">
        <f>IFERROR(INDEX(ListeCours[],MATCH(tables!$A$39&amp;"."&amp;tables!C38&amp;"."&amp;Année,ListeCours[clé_date],0),2),"")</f>
        <v>M6.1</v>
      </c>
      <c r="X22" s="156" t="str">
        <f>IFERROR(INDEX(ListeCours[],MATCH(tables!$A$39&amp;"."&amp;tables!C38&amp;"."&amp;Année,ListeCours[clé_date],0),16),"")</f>
        <v>FERRA</v>
      </c>
      <c r="Y22" s="158">
        <f>IFERROR(INDEX(ListeCours[],MATCH(tables!$A$39&amp;"."&amp;tables!C38&amp;"."&amp;Année,ListeCours[clé_date],0),9),"")</f>
        <v>0</v>
      </c>
      <c r="Z22" s="156"/>
      <c r="AA22" s="156"/>
      <c r="AB22" s="41"/>
      <c r="AC22" s="42">
        <f>IFERROR(INDEX(ListeCours[],MATCH(tables!$A$40&amp;"."&amp;tables!C38&amp;"."&amp;Année,ListeCours[clé_date],0),3),"")</f>
        <v>45086</v>
      </c>
      <c r="AD22" s="43">
        <f>IFERROR(INDEX(ListeCours[],MATCH(tables!$A$40&amp;"."&amp;tables!C38&amp;"."&amp;Année,ListeCours[clé_date],0),5),"")</f>
        <v>0.70833333333333337</v>
      </c>
      <c r="AE22" s="43">
        <f>IFERROR(INDEX(ListeCours[],MATCH(tables!$A$40&amp;"."&amp;tables!C38&amp;"."&amp;Année,ListeCours[clé_date],0),6),"")</f>
        <v>0.83333333333333337</v>
      </c>
      <c r="AF22" s="44" t="str">
        <f>IFERROR(INDEX(ListeCours[],MATCH(tables!$A$40&amp;"."&amp;tables!C38&amp;"."&amp;Année,ListeCours[clé_date],0),2),"")</f>
        <v>M6.4</v>
      </c>
      <c r="AG22" s="156" t="str">
        <f>IFERROR(INDEX(ListeCours[],MATCH(tables!$A$40&amp;"."&amp;tables!C38&amp;"."&amp;Année,ListeCours[clé_date],0),16),"")</f>
        <v>COURL</v>
      </c>
      <c r="AH22" s="158">
        <f>IFERROR(INDEX(ListeCours[],MATCH(tables!$A$40&amp;"."&amp;tables!C38&amp;"."&amp;Année,ListeCours[clé_date],0),9),"")</f>
        <v>0</v>
      </c>
      <c r="AI22" s="156"/>
      <c r="AJ22" s="156"/>
      <c r="AL22" s="42">
        <f>IFERROR(INDEX(ListeCours[],MATCH(tables!$A$43&amp;"."&amp;tables!C38&amp;"."&amp;Année,ListeCours[clé_date],0),3),"")</f>
        <v>45177</v>
      </c>
      <c r="AM22" s="43">
        <f>IFERROR(INDEX(ListeCours[],MATCH(tables!$A$43&amp;"."&amp;tables!C38&amp;"."&amp;Année,ListeCours[clé_date],0),5),"")</f>
        <v>0.70833333333333337</v>
      </c>
      <c r="AN22" s="43">
        <f>IFERROR(INDEX(ListeCours[],MATCH(tables!$A$43&amp;"."&amp;tables!C38&amp;"."&amp;Année,ListeCours[clé_date],0),6),"")</f>
        <v>0.83333333333333337</v>
      </c>
      <c r="AO22" s="44" t="str">
        <f>IFERROR(INDEX(ListeCours[],MATCH(tables!$A$43&amp;"."&amp;tables!C38&amp;"."&amp;Année,ListeCours[clé_date],0),2),"")</f>
        <v>M6.3</v>
      </c>
      <c r="AP22" s="156" t="str">
        <f>IFERROR(INDEX(ListeCours[],MATCH(tables!$A$43&amp;"."&amp;tables!C38&amp;"."&amp;Année,ListeCours[clé_date],0),16),"")</f>
        <v>ETHEV</v>
      </c>
      <c r="AQ22" s="158">
        <f>IFERROR(INDEX(ListeCours[],MATCH(tables!$A$43&amp;"."&amp;tables!C38&amp;"."&amp;Année,ListeCours[clé_date],0),9),"")</f>
        <v>0</v>
      </c>
      <c r="AR22" s="156"/>
      <c r="AS22" s="156"/>
      <c r="AT22" s="41"/>
      <c r="AU22" s="42">
        <f>IFERROR(INDEX(ListeCours[],MATCH(tables!$A$44&amp;"."&amp;tables!C38&amp;"."&amp;Année,ListeCours[clé_date],0),3),"")</f>
        <v>45211</v>
      </c>
      <c r="AV22" s="43">
        <f>IFERROR(INDEX(ListeCours[],MATCH(tables!$A$44&amp;"."&amp;tables!C38&amp;"."&amp;Année,ListeCours[clé_date],0),5),"")</f>
        <v>0.66666666666666663</v>
      </c>
      <c r="AW22" s="43">
        <f>IFERROR(INDEX(ListeCours[],MATCH(tables!$A$44&amp;"."&amp;tables!C38&amp;"."&amp;Année,ListeCours[clé_date],0),6),"")</f>
        <v>0.83333333333333337</v>
      </c>
      <c r="AX22" s="44" t="str">
        <f>IFERROR(INDEX(ListeCours[],MATCH(tables!$A$44&amp;"."&amp;tables!C38&amp;"."&amp;Année,ListeCours[clé_date],0),2),"")</f>
        <v>M9</v>
      </c>
      <c r="AY22" s="156" t="str">
        <f>IFERROR(INDEX(ListeCours[],MATCH(tables!$A$44&amp;"."&amp;tables!C38&amp;"."&amp;Année,ListeCours[clé_date],0),16),"")</f>
        <v>CHEVR</v>
      </c>
      <c r="AZ22" s="158">
        <f>IFERROR(INDEX(ListeCours[],MATCH(tables!$A$44&amp;"."&amp;tables!C38&amp;"."&amp;Année,ListeCours[clé_date],0),9),"")</f>
        <v>0</v>
      </c>
      <c r="BA22" s="156"/>
      <c r="BB22" s="156"/>
    </row>
    <row r="23" spans="2:54" ht="15" customHeight="1" x14ac:dyDescent="0.25">
      <c r="B23" s="42">
        <f>IFERROR(INDEX(ListeCours[],MATCH(tables!$A$35&amp;"."&amp;tables!C39&amp;"."&amp;Année,ListeCours[clé_date],0),3),"")</f>
        <v>44952</v>
      </c>
      <c r="C23" s="43">
        <f>IFERROR(INDEX(ListeCours[],MATCH(tables!$A$35&amp;"."&amp;tables!C39&amp;"."&amp;Année,ListeCours[clé_date],0),5),"")</f>
        <v>0.70833333333333337</v>
      </c>
      <c r="D23" s="43">
        <f>IFERROR(INDEX(ListeCours[],MATCH(tables!$A$35&amp;"."&amp;tables!C39&amp;"."&amp;Année,ListeCours[clé_date],0),6),"")</f>
        <v>0.83333333333333337</v>
      </c>
      <c r="E23" s="44" t="str">
        <f>IFERROR(INDEX(ListeCours[],MATCH(tables!$A$35&amp;"."&amp;tables!C39&amp;"."&amp;Année,ListeCours[clé_date],0),2),"")</f>
        <v>M2.1</v>
      </c>
      <c r="F23" s="156" t="str">
        <f>IFERROR(INDEX(ListeCours[],MATCH(tables!$A$35&amp;"."&amp;tables!C39&amp;"."&amp;Année,ListeCours[clé_date],0),16),"")</f>
        <v>QUILL</v>
      </c>
      <c r="G23" s="158">
        <f>IFERROR(INDEX(ListeCours[],MATCH(tables!$A$35&amp;"."&amp;tables!C39&amp;"."&amp;Année,ListeCours[clé_date],0),9),"")</f>
        <v>0</v>
      </c>
      <c r="H23" s="156"/>
      <c r="I23" s="156"/>
      <c r="J23" s="41"/>
      <c r="K23" s="42">
        <f>IFERROR(INDEX(ListeCours[],MATCH(tables!$A$36&amp;"."&amp;tables!C39&amp;"."&amp;Année,ListeCours[clé_date],0),3),"")</f>
        <v>44967</v>
      </c>
      <c r="L23" s="43">
        <f>IFERROR(INDEX(ListeCours[],MATCH(tables!$A$36&amp;"."&amp;tables!C39&amp;"."&amp;Année,ListeCours[clé_date],0),5),"")</f>
        <v>0.70833333333333337</v>
      </c>
      <c r="M23" s="43">
        <f>IFERROR(INDEX(ListeCours[],MATCH(tables!$A$36&amp;"."&amp;tables!C39&amp;"."&amp;Année,ListeCours[clé_date],0),6),"")</f>
        <v>0.83333333333333337</v>
      </c>
      <c r="N23" s="44" t="str">
        <f>IFERROR(INDEX(ListeCours[],MATCH(tables!$A$36&amp;"."&amp;tables!C39&amp;"."&amp;Année,ListeCours[clé_date],0),2),"")</f>
        <v>M3.1</v>
      </c>
      <c r="O23" s="156" t="str">
        <f>IFERROR(INDEX(ListeCours[],MATCH(tables!$A$36&amp;"."&amp;tables!C39&amp;"."&amp;Année,ListeCours[clé_date],0),16),"")</f>
        <v>COURL</v>
      </c>
      <c r="P23" s="158">
        <f>IFERROR(INDEX(ListeCours[],MATCH(tables!$A$36&amp;"."&amp;tables!C39&amp;"."&amp;Année,ListeCours[clé_date],0),9),"")</f>
        <v>0</v>
      </c>
      <c r="Q23" s="156"/>
      <c r="R23" s="156"/>
      <c r="T23" s="42">
        <f>IFERROR(INDEX(ListeCours[],MATCH(tables!$A$39&amp;"."&amp;tables!C39&amp;"."&amp;Année,ListeCours[clé_date],0),3),"")</f>
        <v>45057</v>
      </c>
      <c r="U23" s="43">
        <f>IFERROR(INDEX(ListeCours[],MATCH(tables!$A$39&amp;"."&amp;tables!C39&amp;"."&amp;Année,ListeCours[clé_date],0),5),"")</f>
        <v>0.70833333333333337</v>
      </c>
      <c r="V23" s="43">
        <f>IFERROR(INDEX(ListeCours[],MATCH(tables!$A$39&amp;"."&amp;tables!C39&amp;"."&amp;Année,ListeCours[clé_date],0),6),"")</f>
        <v>0.83333333333333337</v>
      </c>
      <c r="W23" s="44" t="str">
        <f>IFERROR(INDEX(ListeCours[],MATCH(tables!$A$39&amp;"."&amp;tables!C39&amp;"."&amp;Année,ListeCours[clé_date],0),2),"")</f>
        <v>M6.1</v>
      </c>
      <c r="X23" s="156" t="str">
        <f>IFERROR(INDEX(ListeCours[],MATCH(tables!$A$39&amp;"."&amp;tables!C39&amp;"."&amp;Année,ListeCours[clé_date],0),16),"")</f>
        <v>FERRA</v>
      </c>
      <c r="Y23" s="158">
        <f>IFERROR(INDEX(ListeCours[],MATCH(tables!$A$39&amp;"."&amp;tables!C39&amp;"."&amp;Année,ListeCours[clé_date],0),9),"")</f>
        <v>0</v>
      </c>
      <c r="Z23" s="156"/>
      <c r="AA23" s="156"/>
      <c r="AB23" s="41"/>
      <c r="AC23" s="42">
        <f>IFERROR(INDEX(ListeCours[],MATCH(tables!$A$40&amp;"."&amp;tables!C39&amp;"."&amp;Année,ListeCours[clé_date],0),3),"")</f>
        <v>45092</v>
      </c>
      <c r="AD23" s="43">
        <f>IFERROR(INDEX(ListeCours[],MATCH(tables!$A$40&amp;"."&amp;tables!C39&amp;"."&amp;Année,ListeCours[clé_date],0),5),"")</f>
        <v>0.70833333333333337</v>
      </c>
      <c r="AE23" s="43">
        <f>IFERROR(INDEX(ListeCours[],MATCH(tables!$A$40&amp;"."&amp;tables!C39&amp;"."&amp;Année,ListeCours[clé_date],0),6),"")</f>
        <v>0.83333333333333337</v>
      </c>
      <c r="AF23" s="44" t="str">
        <f>IFERROR(INDEX(ListeCours[],MATCH(tables!$A$40&amp;"."&amp;tables!C39&amp;"."&amp;Année,ListeCours[clé_date],0),2),"")</f>
        <v>M6.4</v>
      </c>
      <c r="AG23" s="156" t="str">
        <f>IFERROR(INDEX(ListeCours[],MATCH(tables!$A$40&amp;"."&amp;tables!C39&amp;"."&amp;Année,ListeCours[clé_date],0),16),"")</f>
        <v>COURL</v>
      </c>
      <c r="AH23" s="158">
        <f>IFERROR(INDEX(ListeCours[],MATCH(tables!$A$40&amp;"."&amp;tables!C39&amp;"."&amp;Année,ListeCours[clé_date],0),9),"")</f>
        <v>0</v>
      </c>
      <c r="AI23" s="156"/>
      <c r="AJ23" s="156"/>
      <c r="AL23" s="42">
        <f>IFERROR(INDEX(ListeCours[],MATCH(tables!$A$43&amp;"."&amp;tables!C39&amp;"."&amp;Année,ListeCours[clé_date],0),3),"")</f>
        <v>45178</v>
      </c>
      <c r="AM23" s="43">
        <f>IFERROR(INDEX(ListeCours[],MATCH(tables!$A$43&amp;"."&amp;tables!C39&amp;"."&amp;Année,ListeCours[clé_date],0),5),"")</f>
        <v>0.33333333333333331</v>
      </c>
      <c r="AN23" s="43">
        <f>IFERROR(INDEX(ListeCours[],MATCH(tables!$A$43&amp;"."&amp;tables!C39&amp;"."&amp;Année,ListeCours[clé_date],0),6),"")</f>
        <v>0.5</v>
      </c>
      <c r="AO23" s="44" t="str">
        <f>IFERROR(INDEX(ListeCours[],MATCH(tables!$A$43&amp;"."&amp;tables!C39&amp;"."&amp;Année,ListeCours[clé_date],0),2),"")</f>
        <v>M7.2</v>
      </c>
      <c r="AP23" s="156" t="str">
        <f>IFERROR(INDEX(ListeCours[],MATCH(tables!$A$43&amp;"."&amp;tables!C39&amp;"."&amp;Année,ListeCours[clé_date],0),16),"")</f>
        <v>ETHEV</v>
      </c>
      <c r="AQ23" s="158">
        <f>IFERROR(INDEX(ListeCours[],MATCH(tables!$A$43&amp;"."&amp;tables!C39&amp;"."&amp;Année,ListeCours[clé_date],0),9),"")</f>
        <v>0</v>
      </c>
      <c r="AR23" s="156"/>
      <c r="AS23" s="156"/>
      <c r="AT23" s="41"/>
      <c r="AU23" s="42">
        <f>IFERROR(INDEX(ListeCours[],MATCH(tables!$A$44&amp;"."&amp;tables!C39&amp;"."&amp;Année,ListeCours[clé_date],0),3),"")</f>
        <v>45212</v>
      </c>
      <c r="AV23" s="43">
        <f>IFERROR(INDEX(ListeCours[],MATCH(tables!$A$44&amp;"."&amp;tables!C39&amp;"."&amp;Année,ListeCours[clé_date],0),5),"")</f>
        <v>0.66666666666666663</v>
      </c>
      <c r="AW23" s="43">
        <f>IFERROR(INDEX(ListeCours[],MATCH(tables!$A$44&amp;"."&amp;tables!C39&amp;"."&amp;Année,ListeCours[clé_date],0),6),"")</f>
        <v>0.75</v>
      </c>
      <c r="AX23" s="44" t="str">
        <f>IFERROR(INDEX(ListeCours[],MATCH(tables!$A$44&amp;"."&amp;tables!C39&amp;"."&amp;Année,ListeCours[clé_date],0),2),"")</f>
        <v>M9</v>
      </c>
      <c r="AY23" s="156" t="str">
        <f>IFERROR(INDEX(ListeCours[],MATCH(tables!$A$44&amp;"."&amp;tables!C39&amp;"."&amp;Année,ListeCours[clé_date],0),16),"")</f>
        <v>CHEVR</v>
      </c>
      <c r="AZ23" s="158">
        <f>IFERROR(INDEX(ListeCours[],MATCH(tables!$A$44&amp;"."&amp;tables!C39&amp;"."&amp;Année,ListeCours[clé_date],0),9),"")</f>
        <v>0</v>
      </c>
      <c r="BA23" s="156"/>
      <c r="BB23" s="156"/>
    </row>
    <row r="24" spans="2:54" ht="15" customHeight="1" x14ac:dyDescent="0.25">
      <c r="B24" s="42">
        <f>IFERROR(INDEX(ListeCours[],MATCH(tables!$A$35&amp;"."&amp;tables!C40&amp;"."&amp;Année,ListeCours[clé_date],0),3),"")</f>
        <v>44953</v>
      </c>
      <c r="C24" s="43">
        <f>IFERROR(INDEX(ListeCours[],MATCH(tables!$A$35&amp;"."&amp;tables!C40&amp;"."&amp;Année,ListeCours[clé_date],0),5),"")</f>
        <v>0.70833333333333337</v>
      </c>
      <c r="D24" s="43">
        <f>IFERROR(INDEX(ListeCours[],MATCH(tables!$A$35&amp;"."&amp;tables!C40&amp;"."&amp;Année,ListeCours[clé_date],0),6),"")</f>
        <v>0.83333333333333337</v>
      </c>
      <c r="E24" s="44" t="str">
        <f>IFERROR(INDEX(ListeCours[],MATCH(tables!$A$35&amp;"."&amp;tables!C40&amp;"."&amp;Année,ListeCours[clé_date],0),2),"")</f>
        <v>M2.1</v>
      </c>
      <c r="F24" s="156" t="str">
        <f>IFERROR(INDEX(ListeCours[],MATCH(tables!$A$35&amp;"."&amp;tables!C40&amp;"."&amp;Année,ListeCours[clé_date],0),16),"")</f>
        <v>QUILL</v>
      </c>
      <c r="G24" s="158">
        <f>IFERROR(INDEX(ListeCours[],MATCH(tables!$A$35&amp;"."&amp;tables!C40&amp;"."&amp;Année,ListeCours[clé_date],0),9),"")</f>
        <v>0</v>
      </c>
      <c r="H24" s="156"/>
      <c r="I24" s="156"/>
      <c r="J24" s="41"/>
      <c r="K24" s="42">
        <f>IFERROR(INDEX(ListeCours[],MATCH(tables!$A$36&amp;"."&amp;tables!C40&amp;"."&amp;Année,ListeCours[clé_date],0),3),"")</f>
        <v>44973</v>
      </c>
      <c r="L24" s="43">
        <f>IFERROR(INDEX(ListeCours[],MATCH(tables!$A$36&amp;"."&amp;tables!C40&amp;"."&amp;Année,ListeCours[clé_date],0),5),"")</f>
        <v>0.70833333333333337</v>
      </c>
      <c r="M24" s="43">
        <f>IFERROR(INDEX(ListeCours[],MATCH(tables!$A$36&amp;"."&amp;tables!C40&amp;"."&amp;Année,ListeCours[clé_date],0),6),"")</f>
        <v>0.83333333333333337</v>
      </c>
      <c r="N24" s="44" t="str">
        <f>IFERROR(INDEX(ListeCours[],MATCH(tables!$A$36&amp;"."&amp;tables!C40&amp;"."&amp;Année,ListeCours[clé_date],0),2),"")</f>
        <v>M3.1</v>
      </c>
      <c r="O24" s="156" t="str">
        <f>IFERROR(INDEX(ListeCours[],MATCH(tables!$A$36&amp;"."&amp;tables!C40&amp;"."&amp;Année,ListeCours[clé_date],0),16),"")</f>
        <v>COURL</v>
      </c>
      <c r="P24" s="158">
        <f>IFERROR(INDEX(ListeCours[],MATCH(tables!$A$36&amp;"."&amp;tables!C40&amp;"."&amp;Année,ListeCours[clé_date],0),9),"")</f>
        <v>0</v>
      </c>
      <c r="Q24" s="156"/>
      <c r="R24" s="156"/>
      <c r="T24" s="42">
        <f>IFERROR(INDEX(ListeCours[],MATCH(tables!$A$39&amp;"."&amp;tables!C40&amp;"."&amp;Année,ListeCours[clé_date],0),3),"")</f>
        <v>45058</v>
      </c>
      <c r="U24" s="43">
        <f>IFERROR(INDEX(ListeCours[],MATCH(tables!$A$39&amp;"."&amp;tables!C40&amp;"."&amp;Année,ListeCours[clé_date],0),5),"")</f>
        <v>0.70833333333333337</v>
      </c>
      <c r="V24" s="43">
        <f>IFERROR(INDEX(ListeCours[],MATCH(tables!$A$39&amp;"."&amp;tables!C40&amp;"."&amp;Année,ListeCours[clé_date],0),6),"")</f>
        <v>0.79166666666666663</v>
      </c>
      <c r="W24" s="44" t="str">
        <f>IFERROR(INDEX(ListeCours[],MATCH(tables!$A$39&amp;"."&amp;tables!C40&amp;"."&amp;Année,ListeCours[clé_date],0),2),"")</f>
        <v>M6.1</v>
      </c>
      <c r="X24" s="156" t="str">
        <f>IFERROR(INDEX(ListeCours[],MATCH(tables!$A$39&amp;"."&amp;tables!C40&amp;"."&amp;Année,ListeCours[clé_date],0),16),"")</f>
        <v>FERRA</v>
      </c>
      <c r="Y24" s="158">
        <f>IFERROR(INDEX(ListeCours[],MATCH(tables!$A$39&amp;"."&amp;tables!C40&amp;"."&amp;Année,ListeCours[clé_date],0),9),"")</f>
        <v>0</v>
      </c>
      <c r="Z24" s="156"/>
      <c r="AA24" s="156"/>
      <c r="AB24" s="41"/>
      <c r="AC24" s="42">
        <f>IFERROR(INDEX(ListeCours[],MATCH(tables!$A$40&amp;"."&amp;tables!C40&amp;"."&amp;Année,ListeCours[clé_date],0),3),"")</f>
        <v>45093</v>
      </c>
      <c r="AD24" s="43">
        <f>IFERROR(INDEX(ListeCours[],MATCH(tables!$A$40&amp;"."&amp;tables!C40&amp;"."&amp;Année,ListeCours[clé_date],0),5),"")</f>
        <v>0.70833333333333337</v>
      </c>
      <c r="AE24" s="43">
        <f>IFERROR(INDEX(ListeCours[],MATCH(tables!$A$40&amp;"."&amp;tables!C40&amp;"."&amp;Année,ListeCours[clé_date],0),6),"")</f>
        <v>0.83333333333333337</v>
      </c>
      <c r="AF24" s="44" t="str">
        <f>IFERROR(INDEX(ListeCours[],MATCH(tables!$A$40&amp;"."&amp;tables!C40&amp;"."&amp;Année,ListeCours[clé_date],0),2),"")</f>
        <v>M6.4</v>
      </c>
      <c r="AG24" s="156" t="str">
        <f>IFERROR(INDEX(ListeCours[],MATCH(tables!$A$40&amp;"."&amp;tables!C40&amp;"."&amp;Année,ListeCours[clé_date],0),16),"")</f>
        <v>COURL</v>
      </c>
      <c r="AH24" s="158">
        <f>IFERROR(INDEX(ListeCours[],MATCH(tables!$A$40&amp;"."&amp;tables!C40&amp;"."&amp;Année,ListeCours[clé_date],0),9),"")</f>
        <v>0</v>
      </c>
      <c r="AI24" s="156"/>
      <c r="AJ24" s="156"/>
      <c r="AL24" s="42">
        <f>IFERROR(INDEX(ListeCours[],MATCH(tables!$A$43&amp;"."&amp;tables!C40&amp;"."&amp;Année,ListeCours[clé_date],0),3),"")</f>
        <v>45183</v>
      </c>
      <c r="AM24" s="43">
        <f>IFERROR(INDEX(ListeCours[],MATCH(tables!$A$43&amp;"."&amp;tables!C40&amp;"."&amp;Année,ListeCours[clé_date],0),5),"")</f>
        <v>0.70833333333333337</v>
      </c>
      <c r="AN24" s="43">
        <f>IFERROR(INDEX(ListeCours[],MATCH(tables!$A$43&amp;"."&amp;tables!C40&amp;"."&amp;Année,ListeCours[clé_date],0),6),"")</f>
        <v>0.83333333333333337</v>
      </c>
      <c r="AO24" s="44" t="str">
        <f>IFERROR(INDEX(ListeCours[],MATCH(tables!$A$43&amp;"."&amp;tables!C40&amp;"."&amp;Année,ListeCours[clé_date],0),2),"")</f>
        <v>M7.2</v>
      </c>
      <c r="AP24" s="156" t="str">
        <f>IFERROR(INDEX(ListeCours[],MATCH(tables!$A$43&amp;"."&amp;tables!C40&amp;"."&amp;Année,ListeCours[clé_date],0),16),"")</f>
        <v>ETHEV</v>
      </c>
      <c r="AQ24" s="158">
        <f>IFERROR(INDEX(ListeCours[],MATCH(tables!$A$43&amp;"."&amp;tables!C40&amp;"."&amp;Année,ListeCours[clé_date],0),9),"")</f>
        <v>0</v>
      </c>
      <c r="AR24" s="156"/>
      <c r="AS24" s="156"/>
      <c r="AT24" s="41"/>
      <c r="AU24" s="42">
        <f>IFERROR(INDEX(ListeCours[],MATCH(tables!$A$44&amp;"."&amp;tables!C40&amp;"."&amp;Année,ListeCours[clé_date],0),3),"")</f>
        <v>45212</v>
      </c>
      <c r="AV24" s="43">
        <f>IFERROR(INDEX(ListeCours[],MATCH(tables!$A$44&amp;"."&amp;tables!C40&amp;"."&amp;Année,ListeCours[clé_date],0),5),"")</f>
        <v>0.75</v>
      </c>
      <c r="AW24" s="43">
        <f>IFERROR(INDEX(ListeCours[],MATCH(tables!$A$44&amp;"."&amp;tables!C40&amp;"."&amp;Année,ListeCours[clé_date],0),6),"")</f>
        <v>0.83333333333333337</v>
      </c>
      <c r="AX24" s="44" t="str">
        <f>IFERROR(INDEX(ListeCours[],MATCH(tables!$A$44&amp;"."&amp;tables!C40&amp;"."&amp;Année,ListeCours[clé_date],0),2),"")</f>
        <v>M10</v>
      </c>
      <c r="AY24" s="156" t="str">
        <f>IFERROR(INDEX(ListeCours[],MATCH(tables!$A$44&amp;"."&amp;tables!C40&amp;"."&amp;Année,ListeCours[clé_date],0),16),"")</f>
        <v>CHEVR</v>
      </c>
      <c r="AZ24" s="158">
        <f>IFERROR(INDEX(ListeCours[],MATCH(tables!$A$44&amp;"."&amp;tables!C40&amp;"."&amp;Année,ListeCours[clé_date],0),9),"")</f>
        <v>0</v>
      </c>
      <c r="BA24" s="156"/>
      <c r="BB24" s="156"/>
    </row>
    <row r="25" spans="2:54" ht="15" customHeight="1" x14ac:dyDescent="0.25">
      <c r="B25" s="42">
        <f>IFERROR(INDEX(ListeCours[],MATCH(tables!$A$35&amp;"."&amp;tables!C41&amp;"."&amp;Année,ListeCours[clé_date],0),3),"")</f>
        <v>44954</v>
      </c>
      <c r="C25" s="43">
        <f>IFERROR(INDEX(ListeCours[],MATCH(tables!$A$35&amp;"."&amp;tables!C41&amp;"."&amp;Année,ListeCours[clé_date],0),5),"")</f>
        <v>0.33333333333333331</v>
      </c>
      <c r="D25" s="43">
        <f>IFERROR(INDEX(ListeCours[],MATCH(tables!$A$35&amp;"."&amp;tables!C41&amp;"."&amp;Année,ListeCours[clé_date],0),6),"")</f>
        <v>0.5</v>
      </c>
      <c r="E25" s="44" t="str">
        <f>IFERROR(INDEX(ListeCours[],MATCH(tables!$A$35&amp;"."&amp;tables!C41&amp;"."&amp;Année,ListeCours[clé_date],0),2),"")</f>
        <v>M2.1</v>
      </c>
      <c r="F25" s="156" t="str">
        <f>IFERROR(INDEX(ListeCours[],MATCH(tables!$A$35&amp;"."&amp;tables!C41&amp;"."&amp;Année,ListeCours[clé_date],0),16),"")</f>
        <v>QUILL</v>
      </c>
      <c r="G25" s="158">
        <f>IFERROR(INDEX(ListeCours[],MATCH(tables!$A$35&amp;"."&amp;tables!C41&amp;"."&amp;Année,ListeCours[clé_date],0),9),"")</f>
        <v>0</v>
      </c>
      <c r="H25" s="156"/>
      <c r="I25" s="156"/>
      <c r="J25" s="39"/>
      <c r="K25" s="42">
        <f>IFERROR(INDEX(ListeCours[],MATCH(tables!$A$36&amp;"."&amp;tables!C41&amp;"."&amp;Année,ListeCours[clé_date],0),3),"")</f>
        <v>44974</v>
      </c>
      <c r="L25" s="43">
        <f>IFERROR(INDEX(ListeCours[],MATCH(tables!$A$36&amp;"."&amp;tables!C41&amp;"."&amp;Année,ListeCours[clé_date],0),5),"")</f>
        <v>0.70833333333333337</v>
      </c>
      <c r="M25" s="43">
        <f>IFERROR(INDEX(ListeCours[],MATCH(tables!$A$36&amp;"."&amp;tables!C41&amp;"."&amp;Année,ListeCours[clé_date],0),6),"")</f>
        <v>0.83333333333333337</v>
      </c>
      <c r="N25" s="44" t="str">
        <f>IFERROR(INDEX(ListeCours[],MATCH(tables!$A$36&amp;"."&amp;tables!C41&amp;"."&amp;Année,ListeCours[clé_date],0),2),"")</f>
        <v>M3.1</v>
      </c>
      <c r="O25" s="156" t="str">
        <f>IFERROR(INDEX(ListeCours[],MATCH(tables!$A$36&amp;"."&amp;tables!C41&amp;"."&amp;Année,ListeCours[clé_date],0),16),"")</f>
        <v>COURL</v>
      </c>
      <c r="P25" s="158">
        <f>IFERROR(INDEX(ListeCours[],MATCH(tables!$A$36&amp;"."&amp;tables!C41&amp;"."&amp;Année,ListeCours[clé_date],0),9),"")</f>
        <v>0</v>
      </c>
      <c r="Q25" s="156"/>
      <c r="R25" s="156"/>
      <c r="T25" s="42">
        <f>IFERROR(INDEX(ListeCours[],MATCH(tables!$A$39&amp;"."&amp;tables!C41&amp;"."&amp;Année,ListeCours[clé_date],0),3),"")</f>
        <v>45059</v>
      </c>
      <c r="U25" s="43">
        <f>IFERROR(INDEX(ListeCours[],MATCH(tables!$A$39&amp;"."&amp;tables!C41&amp;"."&amp;Année,ListeCours[clé_date],0),5),"")</f>
        <v>0.33333333333333331</v>
      </c>
      <c r="V25" s="43">
        <f>IFERROR(INDEX(ListeCours[],MATCH(tables!$A$39&amp;"."&amp;tables!C41&amp;"."&amp;Année,ListeCours[clé_date],0),6),"")</f>
        <v>0.5</v>
      </c>
      <c r="W25" s="44" t="str">
        <f>IFERROR(INDEX(ListeCours[],MATCH(tables!$A$39&amp;"."&amp;tables!C41&amp;"."&amp;Année,ListeCours[clé_date],0),2),"")</f>
        <v>M6.2</v>
      </c>
      <c r="X25" s="156" t="str">
        <f>IFERROR(INDEX(ListeCours[],MATCH(tables!$A$39&amp;"."&amp;tables!C41&amp;"."&amp;Année,ListeCours[clé_date],0),16),"")</f>
        <v>MANO</v>
      </c>
      <c r="Y25" s="158">
        <f>IFERROR(INDEX(ListeCours[],MATCH(tables!$A$39&amp;"."&amp;tables!C41&amp;"."&amp;Année,ListeCours[clé_date],0),9),"")</f>
        <v>0</v>
      </c>
      <c r="Z25" s="156"/>
      <c r="AA25" s="156"/>
      <c r="AB25" s="39"/>
      <c r="AC25" s="42">
        <f>IFERROR(INDEX(ListeCours[],MATCH(tables!$A$40&amp;"."&amp;tables!C41&amp;"."&amp;Année,ListeCours[clé_date],0),3),"")</f>
        <v>45094</v>
      </c>
      <c r="AD25" s="43">
        <f>IFERROR(INDEX(ListeCours[],MATCH(tables!$A$40&amp;"."&amp;tables!C41&amp;"."&amp;Année,ListeCours[clé_date],0),5),"")</f>
        <v>0.33333333333333331</v>
      </c>
      <c r="AE25" s="43">
        <f>IFERROR(INDEX(ListeCours[],MATCH(tables!$A$40&amp;"."&amp;tables!C41&amp;"."&amp;Année,ListeCours[clé_date],0),6),"")</f>
        <v>0.39583333333333331</v>
      </c>
      <c r="AF25" s="44" t="str">
        <f>IFERROR(INDEX(ListeCours[],MATCH(tables!$A$40&amp;"."&amp;tables!C41&amp;"."&amp;Année,ListeCours[clé_date],0),2),"")</f>
        <v>EV1-s2</v>
      </c>
      <c r="AG25" s="156" t="str">
        <f>IFERROR(INDEX(ListeCours[],MATCH(tables!$A$40&amp;"."&amp;tables!C41&amp;"."&amp;Année,ListeCours[clé_date],0),16),"")</f>
        <v/>
      </c>
      <c r="AH25" s="158" t="str">
        <f>IFERROR(INDEX(ListeCours[],MATCH(tables!$A$40&amp;"."&amp;tables!C41&amp;"."&amp;Année,ListeCours[clé_date],0),9),"")</f>
        <v>Evaluation BC1 sess. 2</v>
      </c>
      <c r="AI25" s="156"/>
      <c r="AJ25" s="156"/>
      <c r="AL25" s="42">
        <f>IFERROR(INDEX(ListeCours[],MATCH(tables!$A$43&amp;"."&amp;tables!C41&amp;"."&amp;Année,ListeCours[clé_date],0),3),"")</f>
        <v>45184</v>
      </c>
      <c r="AM25" s="43">
        <f>IFERROR(INDEX(ListeCours[],MATCH(tables!$A$43&amp;"."&amp;tables!C41&amp;"."&amp;Année,ListeCours[clé_date],0),5),"")</f>
        <v>0.70833333333333337</v>
      </c>
      <c r="AN25" s="43">
        <f>IFERROR(INDEX(ListeCours[],MATCH(tables!$A$43&amp;"."&amp;tables!C41&amp;"."&amp;Année,ListeCours[clé_date],0),6),"")</f>
        <v>0.83333333333333337</v>
      </c>
      <c r="AO25" s="44" t="str">
        <f>IFERROR(INDEX(ListeCours[],MATCH(tables!$A$43&amp;"."&amp;tables!C41&amp;"."&amp;Année,ListeCours[clé_date],0),2),"")</f>
        <v>M7.2</v>
      </c>
      <c r="AP25" s="156" t="str">
        <f>IFERROR(INDEX(ListeCours[],MATCH(tables!$A$43&amp;"."&amp;tables!C41&amp;"."&amp;Année,ListeCours[clé_date],0),16),"")</f>
        <v>ETHEV</v>
      </c>
      <c r="AQ25" s="158">
        <f>IFERROR(INDEX(ListeCours[],MATCH(tables!$A$43&amp;"."&amp;tables!C41&amp;"."&amp;Année,ListeCours[clé_date],0),9),"")</f>
        <v>0</v>
      </c>
      <c r="AR25" s="156"/>
      <c r="AS25" s="156"/>
      <c r="AT25" s="39"/>
      <c r="AU25" s="42">
        <f>IFERROR(INDEX(ListeCours[],MATCH(tables!$A$44&amp;"."&amp;tables!C41&amp;"."&amp;Année,ListeCours[clé_date],0),3),"")</f>
        <v>45213</v>
      </c>
      <c r="AV25" s="43">
        <f>IFERROR(INDEX(ListeCours[],MATCH(tables!$A$44&amp;"."&amp;tables!C41&amp;"."&amp;Année,ListeCours[clé_date],0),5),"")</f>
        <v>0.33333333333333331</v>
      </c>
      <c r="AW25" s="43">
        <f>IFERROR(INDEX(ListeCours[],MATCH(tables!$A$44&amp;"."&amp;tables!C41&amp;"."&amp;Année,ListeCours[clé_date],0),6),"")</f>
        <v>0.39583333333333331</v>
      </c>
      <c r="AX25" s="44" t="str">
        <f>IFERROR(INDEX(ListeCours[],MATCH(tables!$A$44&amp;"."&amp;tables!C41&amp;"."&amp;Année,ListeCours[clé_date],0),2),"")</f>
        <v>EV3-s1</v>
      </c>
      <c r="AY25" s="156" t="str">
        <f>IFERROR(INDEX(ListeCours[],MATCH(tables!$A$44&amp;"."&amp;tables!C41&amp;"."&amp;Année,ListeCours[clé_date],0),16),"")</f>
        <v/>
      </c>
      <c r="AZ25" s="158" t="str">
        <f>IFERROR(INDEX(ListeCours[],MATCH(tables!$A$44&amp;"."&amp;tables!C41&amp;"."&amp;Année,ListeCours[clé_date],0),9),"")</f>
        <v>Evaluation BC3 sess. 1</v>
      </c>
      <c r="BA25" s="156"/>
      <c r="BB25" s="156"/>
    </row>
    <row r="26" spans="2:54" ht="15" customHeight="1" x14ac:dyDescent="0.25">
      <c r="B26" s="42" t="str">
        <f>IFERROR(INDEX(ListeCours[],MATCH(tables!$A$35&amp;"."&amp;tables!C42&amp;"."&amp;Année,ListeCours[clé_date],0),3),"")</f>
        <v/>
      </c>
      <c r="C26" s="43" t="str">
        <f>IFERROR(INDEX(ListeCours[],MATCH(tables!$A$35&amp;"."&amp;tables!C42&amp;"."&amp;Année,ListeCours[clé_date],0),5),"")</f>
        <v/>
      </c>
      <c r="D26" s="43" t="str">
        <f>IFERROR(INDEX(ListeCours[],MATCH(tables!$A$35&amp;"."&amp;tables!C42&amp;"."&amp;Année,ListeCours[clé_date],0),6),"")</f>
        <v/>
      </c>
      <c r="E26" s="44" t="str">
        <f>IFERROR(INDEX(ListeCours[],MATCH(tables!$A$35&amp;"."&amp;tables!C42&amp;"."&amp;Année,ListeCours[clé_date],0),2),"")</f>
        <v/>
      </c>
      <c r="F26" s="156" t="str">
        <f>IFERROR(INDEX(ListeCours[],MATCH(tables!$A$35&amp;"."&amp;tables!C42&amp;"."&amp;Année,ListeCours[clé_date],0),16),"")</f>
        <v/>
      </c>
      <c r="G26" s="158" t="str">
        <f>IFERROR(INDEX(ListeCours[],MATCH(tables!$A$35&amp;"."&amp;tables!C42&amp;"."&amp;Année,ListeCours[clé_date],0),9),"")</f>
        <v/>
      </c>
      <c r="H26" s="156"/>
      <c r="I26" s="156"/>
      <c r="J26" s="39"/>
      <c r="K26" s="42">
        <f>IFERROR(INDEX(ListeCours[],MATCH(tables!$A$36&amp;"."&amp;tables!C42&amp;"."&amp;Année,ListeCours[clé_date],0),3),"")</f>
        <v>44977</v>
      </c>
      <c r="L26" s="43">
        <f>IFERROR(INDEX(ListeCours[],MATCH(tables!$A$36&amp;"."&amp;tables!C42&amp;"."&amp;Année,ListeCours[clé_date],0),5),"")</f>
        <v>0.70833333333333337</v>
      </c>
      <c r="M26" s="43">
        <f>IFERROR(INDEX(ListeCours[],MATCH(tables!$A$36&amp;"."&amp;tables!C42&amp;"."&amp;Année,ListeCours[clé_date],0),6),"")</f>
        <v>0.83333333333333337</v>
      </c>
      <c r="N26" s="44" t="str">
        <f>IFERROR(INDEX(ListeCours[],MATCH(tables!$A$36&amp;"."&amp;tables!C42&amp;"."&amp;Année,ListeCours[clé_date],0),2),"")</f>
        <v>M3.1</v>
      </c>
      <c r="O26" s="156" t="str">
        <f>IFERROR(INDEX(ListeCours[],MATCH(tables!$A$36&amp;"."&amp;tables!C42&amp;"."&amp;Année,ListeCours[clé_date],0),16),"")</f>
        <v>COURL</v>
      </c>
      <c r="P26" s="158">
        <f>IFERROR(INDEX(ListeCours[],MATCH(tables!$A$36&amp;"."&amp;tables!C42&amp;"."&amp;Année,ListeCours[clé_date],0),9),"")</f>
        <v>0</v>
      </c>
      <c r="Q26" s="156"/>
      <c r="R26" s="156"/>
      <c r="T26" s="42">
        <f>IFERROR(INDEX(ListeCours[],MATCH(tables!$A$39&amp;"."&amp;tables!C42&amp;"."&amp;Année,ListeCours[clé_date],0),3),"")</f>
        <v>45065</v>
      </c>
      <c r="U26" s="43">
        <f>IFERROR(INDEX(ListeCours[],MATCH(tables!$A$39&amp;"."&amp;tables!C42&amp;"."&amp;Année,ListeCours[clé_date],0),5),"")</f>
        <v>0.70833333333333337</v>
      </c>
      <c r="V26" s="43">
        <f>IFERROR(INDEX(ListeCours[],MATCH(tables!$A$39&amp;"."&amp;tables!C42&amp;"."&amp;Année,ListeCours[clé_date],0),6),"")</f>
        <v>0.83333333333333337</v>
      </c>
      <c r="W26" s="44" t="str">
        <f>IFERROR(INDEX(ListeCours[],MATCH(tables!$A$39&amp;"."&amp;tables!C42&amp;"."&amp;Année,ListeCours[clé_date],0),2),"")</f>
        <v>M6.2</v>
      </c>
      <c r="X26" s="156" t="str">
        <f>IFERROR(INDEX(ListeCours[],MATCH(tables!$A$39&amp;"."&amp;tables!C42&amp;"."&amp;Année,ListeCours[clé_date],0),16),"")</f>
        <v>MANO</v>
      </c>
      <c r="Y26" s="158">
        <f>IFERROR(INDEX(ListeCours[],MATCH(tables!$A$39&amp;"."&amp;tables!C42&amp;"."&amp;Année,ListeCours[clé_date],0),9),"")</f>
        <v>0</v>
      </c>
      <c r="Z26" s="156"/>
      <c r="AA26" s="156"/>
      <c r="AB26" s="39"/>
      <c r="AC26" s="42">
        <f>IFERROR(INDEX(ListeCours[],MATCH(tables!$A$40&amp;"."&amp;tables!C42&amp;"."&amp;Année,ListeCours[clé_date],0),3),"")</f>
        <v>45099</v>
      </c>
      <c r="AD26" s="43">
        <f>IFERROR(INDEX(ListeCours[],MATCH(tables!$A$40&amp;"."&amp;tables!C42&amp;"."&amp;Année,ListeCours[clé_date],0),5),"")</f>
        <v>0.70833333333333337</v>
      </c>
      <c r="AE26" s="43">
        <f>IFERROR(INDEX(ListeCours[],MATCH(tables!$A$40&amp;"."&amp;tables!C42&amp;"."&amp;Année,ListeCours[clé_date],0),6),"")</f>
        <v>0.83333333333333337</v>
      </c>
      <c r="AF26" s="44" t="str">
        <f>IFERROR(INDEX(ListeCours[],MATCH(tables!$A$40&amp;"."&amp;tables!C42&amp;"."&amp;Année,ListeCours[clé_date],0),2),"")</f>
        <v>M6.4</v>
      </c>
      <c r="AG26" s="156" t="str">
        <f>IFERROR(INDEX(ListeCours[],MATCH(tables!$A$40&amp;"."&amp;tables!C42&amp;"."&amp;Année,ListeCours[clé_date],0),16),"")</f>
        <v>COURL</v>
      </c>
      <c r="AH26" s="158">
        <f>IFERROR(INDEX(ListeCours[],MATCH(tables!$A$40&amp;"."&amp;tables!C42&amp;"."&amp;Année,ListeCours[clé_date],0),9),"")</f>
        <v>0</v>
      </c>
      <c r="AI26" s="156"/>
      <c r="AJ26" s="156"/>
      <c r="AL26" s="42">
        <f>IFERROR(INDEX(ListeCours[],MATCH(tables!$A$43&amp;"."&amp;tables!C42&amp;"."&amp;Année,ListeCours[clé_date],0),3),"")</f>
        <v>45185</v>
      </c>
      <c r="AM26" s="43">
        <f>IFERROR(INDEX(ListeCours[],MATCH(tables!$A$43&amp;"."&amp;tables!C42&amp;"."&amp;Année,ListeCours[clé_date],0),5),"")</f>
        <v>0.33333333333333331</v>
      </c>
      <c r="AN26" s="43">
        <f>IFERROR(INDEX(ListeCours[],MATCH(tables!$A$43&amp;"."&amp;tables!C42&amp;"."&amp;Année,ListeCours[clé_date],0),6),"")</f>
        <v>0.39583333333333331</v>
      </c>
      <c r="AO26" s="44" t="str">
        <f>IFERROR(INDEX(ListeCours[],MATCH(tables!$A$43&amp;"."&amp;tables!C42&amp;"."&amp;Année,ListeCours[clé_date],0),2),"")</f>
        <v>EV2-s1</v>
      </c>
      <c r="AP26" s="156" t="str">
        <f>IFERROR(INDEX(ListeCours[],MATCH(tables!$A$43&amp;"."&amp;tables!C42&amp;"."&amp;Année,ListeCours[clé_date],0),16),"")</f>
        <v/>
      </c>
      <c r="AQ26" s="158" t="str">
        <f>IFERROR(INDEX(ListeCours[],MATCH(tables!$A$43&amp;"."&amp;tables!C42&amp;"."&amp;Année,ListeCours[clé_date],0),9),"")</f>
        <v>Evaluation BC2 sess. 1</v>
      </c>
      <c r="AR26" s="156"/>
      <c r="AS26" s="156"/>
      <c r="AT26" s="39"/>
      <c r="AU26" s="42">
        <f>IFERROR(INDEX(ListeCours[],MATCH(tables!$A$44&amp;"."&amp;tables!C42&amp;"."&amp;Année,ListeCours[clé_date],0),3),"")</f>
        <v>45213</v>
      </c>
      <c r="AV26" s="43">
        <f>IFERROR(INDEX(ListeCours[],MATCH(tables!$A$44&amp;"."&amp;tables!C42&amp;"."&amp;Année,ListeCours[clé_date],0),5),"")</f>
        <v>0.41666666666666669</v>
      </c>
      <c r="AW26" s="43">
        <f>IFERROR(INDEX(ListeCours[],MATCH(tables!$A$44&amp;"."&amp;tables!C42&amp;"."&amp;Année,ListeCours[clé_date],0),6),"")</f>
        <v>0.5</v>
      </c>
      <c r="AX26" s="44" t="str">
        <f>IFERROR(INDEX(ListeCours[],MATCH(tables!$A$44&amp;"."&amp;tables!C42&amp;"."&amp;Année,ListeCours[clé_date],0),2),"")</f>
        <v>M10</v>
      </c>
      <c r="AY26" s="156" t="str">
        <f>IFERROR(INDEX(ListeCours[],MATCH(tables!$A$44&amp;"."&amp;tables!C42&amp;"."&amp;Année,ListeCours[clé_date],0),16),"")</f>
        <v>CHEVR</v>
      </c>
      <c r="AZ26" s="158">
        <f>IFERROR(INDEX(ListeCours[],MATCH(tables!$A$44&amp;"."&amp;tables!C42&amp;"."&amp;Année,ListeCours[clé_date],0),9),"")</f>
        <v>0</v>
      </c>
      <c r="BA26" s="156"/>
      <c r="BB26" s="156"/>
    </row>
    <row r="27" spans="2:54" ht="15" customHeight="1" x14ac:dyDescent="0.25">
      <c r="B27" s="42" t="str">
        <f>IFERROR(INDEX(ListeCours[],MATCH(tables!$A$35&amp;"."&amp;tables!C43&amp;"."&amp;Année,ListeCours[clé_date],0),3),"")</f>
        <v/>
      </c>
      <c r="C27" s="43" t="str">
        <f>IFERROR(INDEX(ListeCours[],MATCH(tables!$A$35&amp;"."&amp;tables!C43&amp;"."&amp;Année,ListeCours[clé_date],0),5),"")</f>
        <v/>
      </c>
      <c r="D27" s="43" t="str">
        <f>IFERROR(INDEX(ListeCours[],MATCH(tables!$A$35&amp;"."&amp;tables!C43&amp;"."&amp;Année,ListeCours[clé_date],0),6),"")</f>
        <v/>
      </c>
      <c r="E27" s="44" t="str">
        <f>IFERROR(INDEX(ListeCours[],MATCH(tables!$A$35&amp;"."&amp;tables!C43&amp;"."&amp;Année,ListeCours[clé_date],0),2),"")</f>
        <v/>
      </c>
      <c r="F27" s="156" t="str">
        <f>IFERROR(INDEX(ListeCours[],MATCH(tables!$A$35&amp;"."&amp;tables!C43&amp;"."&amp;Année,ListeCours[clé_date],0),16),"")</f>
        <v/>
      </c>
      <c r="G27" s="158" t="str">
        <f>IFERROR(INDEX(ListeCours[],MATCH(tables!$A$35&amp;"."&amp;tables!C43&amp;"."&amp;Année,ListeCours[clé_date],0),9),"")</f>
        <v/>
      </c>
      <c r="H27" s="156"/>
      <c r="I27" s="156"/>
      <c r="J27" s="39"/>
      <c r="K27" s="42">
        <f>IFERROR(INDEX(ListeCours[],MATCH(tables!$A$36&amp;"."&amp;tables!C43&amp;"."&amp;Année,ListeCours[clé_date],0),3),"")</f>
        <v>44980</v>
      </c>
      <c r="L27" s="43">
        <f>IFERROR(INDEX(ListeCours[],MATCH(tables!$A$36&amp;"."&amp;tables!C43&amp;"."&amp;Année,ListeCours[clé_date],0),5),"")</f>
        <v>0.70833333333333337</v>
      </c>
      <c r="M27" s="43">
        <f>IFERROR(INDEX(ListeCours[],MATCH(tables!$A$36&amp;"."&amp;tables!C43&amp;"."&amp;Année,ListeCours[clé_date],0),6),"")</f>
        <v>0.83333333333333337</v>
      </c>
      <c r="N27" s="44" t="str">
        <f>IFERROR(INDEX(ListeCours[],MATCH(tables!$A$36&amp;"."&amp;tables!C43&amp;"."&amp;Année,ListeCours[clé_date],0),2),"")</f>
        <v>M3.1</v>
      </c>
      <c r="O27" s="156" t="str">
        <f>IFERROR(INDEX(ListeCours[],MATCH(tables!$A$36&amp;"."&amp;tables!C43&amp;"."&amp;Année,ListeCours[clé_date],0),16),"")</f>
        <v>COURL</v>
      </c>
      <c r="P27" s="158">
        <f>IFERROR(INDEX(ListeCours[],MATCH(tables!$A$36&amp;"."&amp;tables!C43&amp;"."&amp;Année,ListeCours[clé_date],0),9),"")</f>
        <v>0</v>
      </c>
      <c r="Q27" s="156"/>
      <c r="R27" s="156"/>
      <c r="T27" s="42">
        <f>IFERROR(INDEX(ListeCours[],MATCH(tables!$A$39&amp;"."&amp;tables!C43&amp;"."&amp;Année,ListeCours[clé_date],0),3),"")</f>
        <v>45066</v>
      </c>
      <c r="U27" s="43">
        <f>IFERROR(INDEX(ListeCours[],MATCH(tables!$A$39&amp;"."&amp;tables!C43&amp;"."&amp;Année,ListeCours[clé_date],0),5),"")</f>
        <v>0.33333333333333331</v>
      </c>
      <c r="V27" s="43">
        <f>IFERROR(INDEX(ListeCours[],MATCH(tables!$A$39&amp;"."&amp;tables!C43&amp;"."&amp;Année,ListeCours[clé_date],0),6),"")</f>
        <v>0.5</v>
      </c>
      <c r="W27" s="44" t="str">
        <f>IFERROR(INDEX(ListeCours[],MATCH(tables!$A$39&amp;"."&amp;tables!C43&amp;"."&amp;Année,ListeCours[clé_date],0),2),"")</f>
        <v>M6.2</v>
      </c>
      <c r="X27" s="156" t="str">
        <f>IFERROR(INDEX(ListeCours[],MATCH(tables!$A$39&amp;"."&amp;tables!C43&amp;"."&amp;Année,ListeCours[clé_date],0),16),"")</f>
        <v>MANO</v>
      </c>
      <c r="Y27" s="158">
        <f>IFERROR(INDEX(ListeCours[],MATCH(tables!$A$39&amp;"."&amp;tables!C43&amp;"."&amp;Année,ListeCours[clé_date],0),9),"")</f>
        <v>0</v>
      </c>
      <c r="Z27" s="156"/>
      <c r="AA27" s="156"/>
      <c r="AB27" s="39"/>
      <c r="AC27" s="42">
        <f>IFERROR(INDEX(ListeCours[],MATCH(tables!$A$40&amp;"."&amp;tables!C43&amp;"."&amp;Année,ListeCours[clé_date],0),3),"")</f>
        <v>45100</v>
      </c>
      <c r="AD27" s="43">
        <f>IFERROR(INDEX(ListeCours[],MATCH(tables!$A$40&amp;"."&amp;tables!C43&amp;"."&amp;Année,ListeCours[clé_date],0),5),"")</f>
        <v>0.70833333333333337</v>
      </c>
      <c r="AE27" s="43">
        <f>IFERROR(INDEX(ListeCours[],MATCH(tables!$A$40&amp;"."&amp;tables!C43&amp;"."&amp;Année,ListeCours[clé_date],0),6),"")</f>
        <v>0.83333333333333337</v>
      </c>
      <c r="AF27" s="44" t="str">
        <f>IFERROR(INDEX(ListeCours[],MATCH(tables!$A$40&amp;"."&amp;tables!C43&amp;"."&amp;Année,ListeCours[clé_date],0),2),"")</f>
        <v>M7.3</v>
      </c>
      <c r="AG27" s="156" t="str">
        <f>IFERROR(INDEX(ListeCours[],MATCH(tables!$A$40&amp;"."&amp;tables!C43&amp;"."&amp;Année,ListeCours[clé_date],0),16),"")</f>
        <v>QUILL</v>
      </c>
      <c r="AH27" s="158">
        <f>IFERROR(INDEX(ListeCours[],MATCH(tables!$A$40&amp;"."&amp;tables!C43&amp;"."&amp;Année,ListeCours[clé_date],0),9),"")</f>
        <v>0</v>
      </c>
      <c r="AI27" s="156"/>
      <c r="AJ27" s="156"/>
      <c r="AL27" s="42">
        <f>IFERROR(INDEX(ListeCours[],MATCH(tables!$A$43&amp;"."&amp;tables!C43&amp;"."&amp;Année,ListeCours[clé_date],0),3),"")</f>
        <v>45190</v>
      </c>
      <c r="AM27" s="43">
        <f>IFERROR(INDEX(ListeCours[],MATCH(tables!$A$43&amp;"."&amp;tables!C43&amp;"."&amp;Année,ListeCours[clé_date],0),5),"")</f>
        <v>0.70833333333333337</v>
      </c>
      <c r="AN27" s="43">
        <f>IFERROR(INDEX(ListeCours[],MATCH(tables!$A$43&amp;"."&amp;tables!C43&amp;"."&amp;Année,ListeCours[clé_date],0),6),"")</f>
        <v>0.83333333333333337</v>
      </c>
      <c r="AO27" s="44" t="str">
        <f>IFERROR(INDEX(ListeCours[],MATCH(tables!$A$43&amp;"."&amp;tables!C43&amp;"."&amp;Année,ListeCours[clé_date],0),2),"")</f>
        <v>M7.2</v>
      </c>
      <c r="AP27" s="156" t="str">
        <f>IFERROR(INDEX(ListeCours[],MATCH(tables!$A$43&amp;"."&amp;tables!C43&amp;"."&amp;Année,ListeCours[clé_date],0),16),"")</f>
        <v>ETHEV</v>
      </c>
      <c r="AQ27" s="158">
        <f>IFERROR(INDEX(ListeCours[],MATCH(tables!$A$43&amp;"."&amp;tables!C43&amp;"."&amp;Année,ListeCours[clé_date],0),9),"")</f>
        <v>0</v>
      </c>
      <c r="AR27" s="156"/>
      <c r="AS27" s="156"/>
      <c r="AT27" s="39"/>
      <c r="AU27" s="42">
        <f>IFERROR(INDEX(ListeCours[],MATCH(tables!$A$44&amp;"."&amp;tables!C43&amp;"."&amp;Année,ListeCours[clé_date],0),3),"")</f>
        <v>45218</v>
      </c>
      <c r="AV27" s="43">
        <f>IFERROR(INDEX(ListeCours[],MATCH(tables!$A$44&amp;"."&amp;tables!C43&amp;"."&amp;Année,ListeCours[clé_date],0),5),"")</f>
        <v>0.66666666666666663</v>
      </c>
      <c r="AW27" s="43">
        <f>IFERROR(INDEX(ListeCours[],MATCH(tables!$A$44&amp;"."&amp;tables!C43&amp;"."&amp;Année,ListeCours[clé_date],0),6),"")</f>
        <v>0.83333333333333337</v>
      </c>
      <c r="AX27" s="44" t="str">
        <f>IFERROR(INDEX(ListeCours[],MATCH(tables!$A$44&amp;"."&amp;tables!C43&amp;"."&amp;Année,ListeCours[clé_date],0),2),"")</f>
        <v>M10</v>
      </c>
      <c r="AY27" s="156" t="str">
        <f>IFERROR(INDEX(ListeCours[],MATCH(tables!$A$44&amp;"."&amp;tables!C43&amp;"."&amp;Année,ListeCours[clé_date],0),16),"")</f>
        <v>CHEVR</v>
      </c>
      <c r="AZ27" s="158">
        <f>IFERROR(INDEX(ListeCours[],MATCH(tables!$A$44&amp;"."&amp;tables!C43&amp;"."&amp;Année,ListeCours[clé_date],0),9),"")</f>
        <v>0</v>
      </c>
      <c r="BA27" s="156"/>
      <c r="BB27" s="156"/>
    </row>
    <row r="28" spans="2:54" ht="15" customHeight="1" x14ac:dyDescent="0.25">
      <c r="B28" s="42" t="str">
        <f>IFERROR(INDEX(ListeCours[],MATCH(tables!$A$35&amp;"."&amp;tables!C44&amp;"."&amp;Année,ListeCours[clé_date],0),3),"")</f>
        <v/>
      </c>
      <c r="C28" s="43" t="str">
        <f>IFERROR(INDEX(ListeCours[],MATCH(tables!$A$35&amp;"."&amp;tables!C44&amp;"."&amp;Année,ListeCours[clé_date],0),5),"")</f>
        <v/>
      </c>
      <c r="D28" s="43" t="str">
        <f>IFERROR(INDEX(ListeCours[],MATCH(tables!$A$35&amp;"."&amp;tables!C44&amp;"."&amp;Année,ListeCours[clé_date],0),6),"")</f>
        <v/>
      </c>
      <c r="E28" s="44" t="str">
        <f>IFERROR(INDEX(ListeCours[],MATCH(tables!$A$35&amp;"."&amp;tables!C44&amp;"."&amp;Année,ListeCours[clé_date],0),2),"")</f>
        <v/>
      </c>
      <c r="F28" s="156" t="str">
        <f>IFERROR(INDEX(ListeCours[],MATCH(tables!$A$35&amp;"."&amp;tables!C44&amp;"."&amp;Année,ListeCours[clé_date],0),16),"")</f>
        <v/>
      </c>
      <c r="G28" s="158" t="str">
        <f>IFERROR(INDEX(ListeCours[],MATCH(tables!$A$35&amp;"."&amp;tables!C44&amp;"."&amp;Année,ListeCours[clé_date],0),9),"")</f>
        <v/>
      </c>
      <c r="H28" s="156"/>
      <c r="I28" s="156"/>
      <c r="J28" s="39"/>
      <c r="K28" s="42">
        <f>IFERROR(INDEX(ListeCours[],MATCH(tables!$A$36&amp;"."&amp;tables!C44&amp;"."&amp;Année,ListeCours[clé_date],0),3),"")</f>
        <v>44981</v>
      </c>
      <c r="L28" s="43">
        <f>IFERROR(INDEX(ListeCours[],MATCH(tables!$A$36&amp;"."&amp;tables!C44&amp;"."&amp;Année,ListeCours[clé_date],0),5),"")</f>
        <v>0.70833333333333337</v>
      </c>
      <c r="M28" s="43">
        <f>IFERROR(INDEX(ListeCours[],MATCH(tables!$A$36&amp;"."&amp;tables!C44&amp;"."&amp;Année,ListeCours[clé_date],0),6),"")</f>
        <v>0.83333333333333337</v>
      </c>
      <c r="N28" s="44" t="str">
        <f>IFERROR(INDEX(ListeCours[],MATCH(tables!$A$36&amp;"."&amp;tables!C44&amp;"."&amp;Année,ListeCours[clé_date],0),2),"")</f>
        <v>M3.1</v>
      </c>
      <c r="O28" s="156" t="str">
        <f>IFERROR(INDEX(ListeCours[],MATCH(tables!$A$36&amp;"."&amp;tables!C44&amp;"."&amp;Année,ListeCours[clé_date],0),16),"")</f>
        <v>COURL</v>
      </c>
      <c r="P28" s="158">
        <f>IFERROR(INDEX(ListeCours[],MATCH(tables!$A$36&amp;"."&amp;tables!C44&amp;"."&amp;Année,ListeCours[clé_date],0),9),"")</f>
        <v>0</v>
      </c>
      <c r="Q28" s="156"/>
      <c r="R28" s="156"/>
      <c r="T28" s="42">
        <f>IFERROR(INDEX(ListeCours[],MATCH(tables!$A$39&amp;"."&amp;tables!C44&amp;"."&amp;Année,ListeCours[clé_date],0),3),"")</f>
        <v>45071</v>
      </c>
      <c r="U28" s="43">
        <f>IFERROR(INDEX(ListeCours[],MATCH(tables!$A$39&amp;"."&amp;tables!C44&amp;"."&amp;Année,ListeCours[clé_date],0),5),"")</f>
        <v>0.70833333333333337</v>
      </c>
      <c r="V28" s="43">
        <f>IFERROR(INDEX(ListeCours[],MATCH(tables!$A$39&amp;"."&amp;tables!C44&amp;"."&amp;Année,ListeCours[clé_date],0),6),"")</f>
        <v>0.79166666666666663</v>
      </c>
      <c r="W28" s="44" t="str">
        <f>IFERROR(INDEX(ListeCours[],MATCH(tables!$A$39&amp;"."&amp;tables!C44&amp;"."&amp;Année,ListeCours[clé_date],0),2),"")</f>
        <v>M7.1</v>
      </c>
      <c r="X28" s="156" t="str">
        <f>IFERROR(INDEX(ListeCours[],MATCH(tables!$A$39&amp;"."&amp;tables!C44&amp;"."&amp;Année,ListeCours[clé_date],0),16),"")</f>
        <v>ETHEV</v>
      </c>
      <c r="Y28" s="158">
        <f>IFERROR(INDEX(ListeCours[],MATCH(tables!$A$39&amp;"."&amp;tables!C44&amp;"."&amp;Année,ListeCours[clé_date],0),9),"")</f>
        <v>0</v>
      </c>
      <c r="Z28" s="156"/>
      <c r="AA28" s="156"/>
      <c r="AB28" s="39"/>
      <c r="AC28" s="42">
        <f>IFERROR(INDEX(ListeCours[],MATCH(tables!$A$40&amp;"."&amp;tables!C44&amp;"."&amp;Année,ListeCours[clé_date],0),3),"")</f>
        <v>45101</v>
      </c>
      <c r="AD28" s="43">
        <f>IFERROR(INDEX(ListeCours[],MATCH(tables!$A$40&amp;"."&amp;tables!C44&amp;"."&amp;Année,ListeCours[clé_date],0),5),"")</f>
        <v>0.33333333333333331</v>
      </c>
      <c r="AE28" s="43">
        <f>IFERROR(INDEX(ListeCours[],MATCH(tables!$A$40&amp;"."&amp;tables!C44&amp;"."&amp;Année,ListeCours[clé_date],0),6),"")</f>
        <v>0.5</v>
      </c>
      <c r="AF28" s="44" t="str">
        <f>IFERROR(INDEX(ListeCours[],MATCH(tables!$A$40&amp;"."&amp;tables!C44&amp;"."&amp;Année,ListeCours[clé_date],0),2),"")</f>
        <v>M13</v>
      </c>
      <c r="AG28" s="156" t="str">
        <f>IFERROR(INDEX(ListeCours[],MATCH(tables!$A$40&amp;"."&amp;tables!C44&amp;"."&amp;Année,ListeCours[clé_date],0),16),"")</f>
        <v>NAYLS</v>
      </c>
      <c r="AH28" s="158">
        <f>IFERROR(INDEX(ListeCours[],MATCH(tables!$A$40&amp;"."&amp;tables!C44&amp;"."&amp;Année,ListeCours[clé_date],0),9),"")</f>
        <v>0</v>
      </c>
      <c r="AI28" s="156"/>
      <c r="AJ28" s="156"/>
      <c r="AL28" s="42">
        <f>IFERROR(INDEX(ListeCours[],MATCH(tables!$A$43&amp;"."&amp;tables!C44&amp;"."&amp;Année,ListeCours[clé_date],0),3),"")</f>
        <v>45191</v>
      </c>
      <c r="AM28" s="43">
        <f>IFERROR(INDEX(ListeCours[],MATCH(tables!$A$43&amp;"."&amp;tables!C44&amp;"."&amp;Année,ListeCours[clé_date],0),5),"")</f>
        <v>0.70833333333333337</v>
      </c>
      <c r="AN28" s="43">
        <f>IFERROR(INDEX(ListeCours[],MATCH(tables!$A$43&amp;"."&amp;tables!C44&amp;"."&amp;Année,ListeCours[clé_date],0),6),"")</f>
        <v>0.83333333333333337</v>
      </c>
      <c r="AO28" s="44" t="str">
        <f>IFERROR(INDEX(ListeCours[],MATCH(tables!$A$43&amp;"."&amp;tables!C44&amp;"."&amp;Année,ListeCours[clé_date],0),2),"")</f>
        <v>M8.1</v>
      </c>
      <c r="AP28" s="156" t="str">
        <f>IFERROR(INDEX(ListeCours[],MATCH(tables!$A$43&amp;"."&amp;tables!C44&amp;"."&amp;Année,ListeCours[clé_date],0),16),"")</f>
        <v>ETHEV</v>
      </c>
      <c r="AQ28" s="158">
        <f>IFERROR(INDEX(ListeCours[],MATCH(tables!$A$43&amp;"."&amp;tables!C44&amp;"."&amp;Année,ListeCours[clé_date],0),9),"")</f>
        <v>0</v>
      </c>
      <c r="AR28" s="156"/>
      <c r="AS28" s="156"/>
      <c r="AT28" s="39"/>
      <c r="AU28" s="42">
        <f>IFERROR(INDEX(ListeCours[],MATCH(tables!$A$44&amp;"."&amp;tables!C44&amp;"."&amp;Année,ListeCours[clé_date],0),3),"")</f>
        <v>45219</v>
      </c>
      <c r="AV28" s="43">
        <f>IFERROR(INDEX(ListeCours[],MATCH(tables!$A$44&amp;"."&amp;tables!C44&amp;"."&amp;Année,ListeCours[clé_date],0),5),"")</f>
        <v>0.66666666666666663</v>
      </c>
      <c r="AW28" s="43">
        <f>IFERROR(INDEX(ListeCours[],MATCH(tables!$A$44&amp;"."&amp;tables!C44&amp;"."&amp;Année,ListeCours[clé_date],0),6),"")</f>
        <v>0.83333333333333337</v>
      </c>
      <c r="AX28" s="44" t="str">
        <f>IFERROR(INDEX(ListeCours[],MATCH(tables!$A$44&amp;"."&amp;tables!C44&amp;"."&amp;Année,ListeCours[clé_date],0),2),"")</f>
        <v>M10</v>
      </c>
      <c r="AY28" s="156" t="str">
        <f>IFERROR(INDEX(ListeCours[],MATCH(tables!$A$44&amp;"."&amp;tables!C44&amp;"."&amp;Année,ListeCours[clé_date],0),16),"")</f>
        <v>CHEVR</v>
      </c>
      <c r="AZ28" s="158">
        <f>IFERROR(INDEX(ListeCours[],MATCH(tables!$A$44&amp;"."&amp;tables!C44&amp;"."&amp;Année,ListeCours[clé_date],0),9),"")</f>
        <v>0</v>
      </c>
      <c r="BA28" s="156"/>
      <c r="BB28" s="156"/>
    </row>
    <row r="29" spans="2:54" ht="15" customHeight="1" x14ac:dyDescent="0.25">
      <c r="B29" s="42" t="str">
        <f>IFERROR(INDEX(ListeCours[],MATCH(tables!$A$35&amp;"."&amp;tables!C45&amp;"."&amp;Année,ListeCours[clé_date],0),3),"")</f>
        <v/>
      </c>
      <c r="C29" s="43" t="str">
        <f>IFERROR(INDEX(ListeCours[],MATCH(tables!$A$35&amp;"."&amp;tables!C45&amp;"."&amp;Année,ListeCours[clé_date],0),5),"")</f>
        <v/>
      </c>
      <c r="D29" s="43" t="str">
        <f>IFERROR(INDEX(ListeCours[],MATCH(tables!$A$35&amp;"."&amp;tables!C45&amp;"."&amp;Année,ListeCours[clé_date],0),6),"")</f>
        <v/>
      </c>
      <c r="E29" s="44" t="str">
        <f>IFERROR(INDEX(ListeCours[],MATCH(tables!$A$35&amp;"."&amp;tables!C45&amp;"."&amp;Année,ListeCours[clé_date],0),2),"")</f>
        <v/>
      </c>
      <c r="F29" s="156" t="str">
        <f>IFERROR(INDEX(ListeCours[],MATCH(tables!$A$35&amp;"."&amp;tables!C45&amp;"."&amp;Année,ListeCours[clé_date],0),16),"")</f>
        <v/>
      </c>
      <c r="G29" s="158" t="str">
        <f>IFERROR(INDEX(ListeCours[],MATCH(tables!$A$35&amp;"."&amp;tables!C45&amp;"."&amp;Année,ListeCours[clé_date],0),9),"")</f>
        <v/>
      </c>
      <c r="H29" s="156"/>
      <c r="I29" s="156"/>
      <c r="J29" s="39"/>
      <c r="K29" s="42">
        <f>IFERROR(INDEX(ListeCours[],MATCH(tables!$A$36&amp;"."&amp;tables!C45&amp;"."&amp;Année,ListeCours[clé_date],0),3),"")</f>
        <v>44982</v>
      </c>
      <c r="L29" s="43">
        <f>IFERROR(INDEX(ListeCours[],MATCH(tables!$A$36&amp;"."&amp;tables!C45&amp;"."&amp;Année,ListeCours[clé_date],0),5),"")</f>
        <v>0.33333333333333331</v>
      </c>
      <c r="M29" s="43">
        <f>IFERROR(INDEX(ListeCours[],MATCH(tables!$A$36&amp;"."&amp;tables!C45&amp;"."&amp;Année,ListeCours[clé_date],0),6),"")</f>
        <v>0.5</v>
      </c>
      <c r="N29" s="44" t="str">
        <f>IFERROR(INDEX(ListeCours[],MATCH(tables!$A$36&amp;"."&amp;tables!C45&amp;"."&amp;Année,ListeCours[clé_date],0),2),"")</f>
        <v>M13</v>
      </c>
      <c r="O29" s="156" t="str">
        <f>IFERROR(INDEX(ListeCours[],MATCH(tables!$A$36&amp;"."&amp;tables!C45&amp;"."&amp;Année,ListeCours[clé_date],0),16),"")</f>
        <v>LEB/NA</v>
      </c>
      <c r="P29" s="158">
        <f>IFERROR(INDEX(ListeCours[],MATCH(tables!$A$36&amp;"."&amp;tables!C45&amp;"."&amp;Année,ListeCours[clé_date],0),9),"")</f>
        <v>0</v>
      </c>
      <c r="Q29" s="156"/>
      <c r="R29" s="156"/>
      <c r="T29" s="42">
        <f>IFERROR(INDEX(ListeCours[],MATCH(tables!$A$39&amp;"."&amp;tables!C45&amp;"."&amp;Année,ListeCours[clé_date],0),3),"")</f>
        <v>45071</v>
      </c>
      <c r="U29" s="43">
        <f>IFERROR(INDEX(ListeCours[],MATCH(tables!$A$39&amp;"."&amp;tables!C45&amp;"."&amp;Année,ListeCours[clé_date],0),5),"")</f>
        <v>0.79166666666666663</v>
      </c>
      <c r="V29" s="43">
        <f>IFERROR(INDEX(ListeCours[],MATCH(tables!$A$39&amp;"."&amp;tables!C45&amp;"."&amp;Année,ListeCours[clé_date],0),6),"")</f>
        <v>0.83333333333333337</v>
      </c>
      <c r="W29" s="44" t="str">
        <f>IFERROR(INDEX(ListeCours[],MATCH(tables!$A$39&amp;"."&amp;tables!C45&amp;"."&amp;Année,ListeCours[clé_date],0),2),"")</f>
        <v>M6.3</v>
      </c>
      <c r="X29" s="156" t="str">
        <f>IFERROR(INDEX(ListeCours[],MATCH(tables!$A$39&amp;"."&amp;tables!C45&amp;"."&amp;Année,ListeCours[clé_date],0),16),"")</f>
        <v>ETHEV</v>
      </c>
      <c r="Y29" s="158" t="str">
        <f>IFERROR(INDEX(ListeCours[],MATCH(tables!$A$39&amp;"."&amp;tables!C45&amp;"."&amp;Année,ListeCours[clé_date],0),9),"")</f>
        <v>intro septembre</v>
      </c>
      <c r="Z29" s="156"/>
      <c r="AA29" s="156"/>
      <c r="AB29" s="39"/>
      <c r="AC29" s="42">
        <f>IFERROR(INDEX(ListeCours[],MATCH(tables!$A$40&amp;"."&amp;tables!C45&amp;"."&amp;Année,ListeCours[clé_date],0),3),"")</f>
        <v>45106</v>
      </c>
      <c r="AD29" s="43">
        <f>IFERROR(INDEX(ListeCours[],MATCH(tables!$A$40&amp;"."&amp;tables!C45&amp;"."&amp;Année,ListeCours[clé_date],0),5),"")</f>
        <v>0.70833333333333337</v>
      </c>
      <c r="AE29" s="43">
        <f>IFERROR(INDEX(ListeCours[],MATCH(tables!$A$40&amp;"."&amp;tables!C45&amp;"."&amp;Année,ListeCours[clé_date],0),6),"")</f>
        <v>0.83333333333333337</v>
      </c>
      <c r="AF29" s="44" t="str">
        <f>IFERROR(INDEX(ListeCours[],MATCH(tables!$A$40&amp;"."&amp;tables!C45&amp;"."&amp;Année,ListeCours[clé_date],0),2),"")</f>
        <v>M7.3</v>
      </c>
      <c r="AG29" s="156" t="str">
        <f>IFERROR(INDEX(ListeCours[],MATCH(tables!$A$40&amp;"."&amp;tables!C45&amp;"."&amp;Année,ListeCours[clé_date],0),16),"")</f>
        <v>QUILL</v>
      </c>
      <c r="AH29" s="158">
        <f>IFERROR(INDEX(ListeCours[],MATCH(tables!$A$40&amp;"."&amp;tables!C45&amp;"."&amp;Année,ListeCours[clé_date],0),9),"")</f>
        <v>0</v>
      </c>
      <c r="AI29" s="156"/>
      <c r="AJ29" s="156"/>
      <c r="AL29" s="42">
        <f>IFERROR(INDEX(ListeCours[],MATCH(tables!$A$43&amp;"."&amp;tables!C45&amp;"."&amp;Année,ListeCours[clé_date],0),3),"")</f>
        <v>45192</v>
      </c>
      <c r="AM29" s="43">
        <f>IFERROR(INDEX(ListeCours[],MATCH(tables!$A$43&amp;"."&amp;tables!C45&amp;"."&amp;Année,ListeCours[clé_date],0),5),"")</f>
        <v>0.33333333333333331</v>
      </c>
      <c r="AN29" s="43">
        <f>IFERROR(INDEX(ListeCours[],MATCH(tables!$A$43&amp;"."&amp;tables!C45&amp;"."&amp;Année,ListeCours[clé_date],0),6),"")</f>
        <v>0.5</v>
      </c>
      <c r="AO29" s="44" t="str">
        <f>IFERROR(INDEX(ListeCours[],MATCH(tables!$A$43&amp;"."&amp;tables!C45&amp;"."&amp;Année,ListeCours[clé_date],0),2),"")</f>
        <v>M8.1</v>
      </c>
      <c r="AP29" s="156" t="str">
        <f>IFERROR(INDEX(ListeCours[],MATCH(tables!$A$43&amp;"."&amp;tables!C45&amp;"."&amp;Année,ListeCours[clé_date],0),16),"")</f>
        <v>ETHEV</v>
      </c>
      <c r="AQ29" s="158">
        <f>IFERROR(INDEX(ListeCours[],MATCH(tables!$A$43&amp;"."&amp;tables!C45&amp;"."&amp;Année,ListeCours[clé_date],0),9),"")</f>
        <v>0</v>
      </c>
      <c r="AR29" s="156"/>
      <c r="AS29" s="156"/>
      <c r="AT29" s="39"/>
      <c r="AU29" s="42">
        <f>IFERROR(INDEX(ListeCours[],MATCH(tables!$A$44&amp;"."&amp;tables!C45&amp;"."&amp;Année,ListeCours[clé_date],0),3),"")</f>
        <v>45220</v>
      </c>
      <c r="AV29" s="43">
        <f>IFERROR(INDEX(ListeCours[],MATCH(tables!$A$44&amp;"."&amp;tables!C45&amp;"."&amp;Année,ListeCours[clé_date],0),5),"")</f>
        <v>0.33333333333333331</v>
      </c>
      <c r="AW29" s="43">
        <f>IFERROR(INDEX(ListeCours[],MATCH(tables!$A$44&amp;"."&amp;tables!C45&amp;"."&amp;Année,ListeCours[clé_date],0),6),"")</f>
        <v>0.5</v>
      </c>
      <c r="AX29" s="44" t="str">
        <f>IFERROR(INDEX(ListeCours[],MATCH(tables!$A$44&amp;"."&amp;tables!C45&amp;"."&amp;Année,ListeCours[clé_date],0),2),"")</f>
        <v>M10</v>
      </c>
      <c r="AY29" s="156" t="str">
        <f>IFERROR(INDEX(ListeCours[],MATCH(tables!$A$44&amp;"."&amp;tables!C45&amp;"."&amp;Année,ListeCours[clé_date],0),16),"")</f>
        <v>CHEVR</v>
      </c>
      <c r="AZ29" s="158">
        <f>IFERROR(INDEX(ListeCours[],MATCH(tables!$A$44&amp;"."&amp;tables!C45&amp;"."&amp;Année,ListeCours[clé_date],0),9),"")</f>
        <v>0</v>
      </c>
      <c r="BA29" s="156"/>
      <c r="BB29" s="156"/>
    </row>
    <row r="30" spans="2:54" ht="15" customHeight="1" x14ac:dyDescent="0.25">
      <c r="B30" s="42" t="str">
        <f>IFERROR(INDEX(ListeCours[],MATCH(tables!$A$35&amp;"."&amp;tables!C46&amp;"."&amp;Année,ListeCours[clé_date],0),3),"")</f>
        <v/>
      </c>
      <c r="C30" s="43" t="str">
        <f>IFERROR(INDEX(ListeCours[],MATCH(tables!$A$35&amp;"."&amp;tables!C46&amp;"."&amp;Année,ListeCours[clé_date],0),5),"")</f>
        <v/>
      </c>
      <c r="D30" s="43" t="str">
        <f>IFERROR(INDEX(ListeCours[],MATCH(tables!$A$35&amp;"."&amp;tables!C46&amp;"."&amp;Année,ListeCours[clé_date],0),6),"")</f>
        <v/>
      </c>
      <c r="E30" s="44" t="str">
        <f>IFERROR(INDEX(ListeCours[],MATCH(tables!$A$35&amp;"."&amp;tables!C46&amp;"."&amp;Année,ListeCours[clé_date],0),2),"")</f>
        <v/>
      </c>
      <c r="F30" s="156" t="str">
        <f>IFERROR(INDEX(ListeCours[],MATCH(tables!$A$35&amp;"."&amp;tables!C46&amp;"."&amp;Année,ListeCours[clé_date],0),16),"")</f>
        <v/>
      </c>
      <c r="G30" s="158" t="str">
        <f>IFERROR(INDEX(ListeCours[],MATCH(tables!$A$35&amp;"."&amp;tables!C46&amp;"."&amp;Année,ListeCours[clé_date],0),9),"")</f>
        <v/>
      </c>
      <c r="H30" s="156"/>
      <c r="I30" s="156"/>
      <c r="J30" s="39"/>
      <c r="K30" s="42" t="str">
        <f>IFERROR(INDEX(ListeCours[],MATCH(tables!$A$36&amp;"."&amp;tables!C46&amp;"."&amp;Année,ListeCours[clé_date],0),3),"")</f>
        <v/>
      </c>
      <c r="L30" s="43" t="str">
        <f>IFERROR(INDEX(ListeCours[],MATCH(tables!$A$36&amp;"."&amp;tables!C46&amp;"."&amp;Année,ListeCours[clé_date],0),5),"")</f>
        <v/>
      </c>
      <c r="M30" s="43" t="str">
        <f>IFERROR(INDEX(ListeCours[],MATCH(tables!$A$36&amp;"."&amp;tables!C46&amp;"."&amp;Année,ListeCours[clé_date],0),6),"")</f>
        <v/>
      </c>
      <c r="N30" s="44" t="str">
        <f>IFERROR(INDEX(ListeCours[],MATCH(tables!$A$36&amp;"."&amp;tables!C46&amp;"."&amp;Année,ListeCours[clé_date],0),2),"")</f>
        <v/>
      </c>
      <c r="O30" s="156" t="str">
        <f>IFERROR(INDEX(ListeCours[],MATCH(tables!$A$36&amp;"."&amp;tables!C46&amp;"."&amp;Année,ListeCours[clé_date],0),16),"")</f>
        <v/>
      </c>
      <c r="P30" s="158" t="str">
        <f>IFERROR(INDEX(ListeCours[],MATCH(tables!$A$36&amp;"."&amp;tables!C46&amp;"."&amp;Année,ListeCours[clé_date],0),9),"")</f>
        <v/>
      </c>
      <c r="Q30" s="156"/>
      <c r="R30" s="156"/>
      <c r="T30" s="42">
        <f>IFERROR(INDEX(ListeCours[],MATCH(tables!$A$39&amp;"."&amp;tables!C46&amp;"."&amp;Année,ListeCours[clé_date],0),3),"")</f>
        <v>45072</v>
      </c>
      <c r="U30" s="43">
        <f>IFERROR(INDEX(ListeCours[],MATCH(tables!$A$39&amp;"."&amp;tables!C46&amp;"."&amp;Année,ListeCours[clé_date],0),5),"")</f>
        <v>0.70833333333333337</v>
      </c>
      <c r="V30" s="43">
        <f>IFERROR(INDEX(ListeCours[],MATCH(tables!$A$39&amp;"."&amp;tables!C46&amp;"."&amp;Année,ListeCours[clé_date],0),6),"")</f>
        <v>0.83333333333333337</v>
      </c>
      <c r="W30" s="44" t="str">
        <f>IFERROR(INDEX(ListeCours[],MATCH(tables!$A$39&amp;"."&amp;tables!C46&amp;"."&amp;Année,ListeCours[clé_date],0),2),"")</f>
        <v>M6.2</v>
      </c>
      <c r="X30" s="156" t="str">
        <f>IFERROR(INDEX(ListeCours[],MATCH(tables!$A$39&amp;"."&amp;tables!C46&amp;"."&amp;Année,ListeCours[clé_date],0),16),"")</f>
        <v>MANO</v>
      </c>
      <c r="Y30" s="158">
        <f>IFERROR(INDEX(ListeCours[],MATCH(tables!$A$39&amp;"."&amp;tables!C46&amp;"."&amp;Année,ListeCours[clé_date],0),9),"")</f>
        <v>0</v>
      </c>
      <c r="Z30" s="156"/>
      <c r="AA30" s="156"/>
      <c r="AB30" s="39"/>
      <c r="AC30" s="42">
        <f>IFERROR(INDEX(ListeCours[],MATCH(tables!$A$40&amp;"."&amp;tables!C46&amp;"."&amp;Année,ListeCours[clé_date],0),3),"")</f>
        <v>45107</v>
      </c>
      <c r="AD30" s="43">
        <f>IFERROR(INDEX(ListeCours[],MATCH(tables!$A$40&amp;"."&amp;tables!C46&amp;"."&amp;Année,ListeCours[clé_date],0),5),"")</f>
        <v>0.70833333333333337</v>
      </c>
      <c r="AE30" s="43">
        <f>IFERROR(INDEX(ListeCours[],MATCH(tables!$A$40&amp;"."&amp;tables!C46&amp;"."&amp;Année,ListeCours[clé_date],0),6),"")</f>
        <v>0.79166666666666663</v>
      </c>
      <c r="AF30" s="44" t="str">
        <f>IFERROR(INDEX(ListeCours[],MATCH(tables!$A$40&amp;"."&amp;tables!C46&amp;"."&amp;Année,ListeCours[clé_date],0),2),"")</f>
        <v>M7.3</v>
      </c>
      <c r="AG30" s="156" t="str">
        <f>IFERROR(INDEX(ListeCours[],MATCH(tables!$A$40&amp;"."&amp;tables!C46&amp;"."&amp;Année,ListeCours[clé_date],0),16),"")</f>
        <v>QUILL</v>
      </c>
      <c r="AH30" s="158">
        <f>IFERROR(INDEX(ListeCours[],MATCH(tables!$A$40&amp;"."&amp;tables!C46&amp;"."&amp;Année,ListeCours[clé_date],0),9),"")</f>
        <v>0</v>
      </c>
      <c r="AI30" s="156"/>
      <c r="AJ30" s="156"/>
      <c r="AL30" s="42">
        <f>IFERROR(INDEX(ListeCours[],MATCH(tables!$A$43&amp;"."&amp;tables!C46&amp;"."&amp;Année,ListeCours[clé_date],0),3),"")</f>
        <v>45197</v>
      </c>
      <c r="AM30" s="43">
        <f>IFERROR(INDEX(ListeCours[],MATCH(tables!$A$43&amp;"."&amp;tables!C46&amp;"."&amp;Année,ListeCours[clé_date],0),5),"")</f>
        <v>0.70833333333333337</v>
      </c>
      <c r="AN30" s="43">
        <f>IFERROR(INDEX(ListeCours[],MATCH(tables!$A$43&amp;"."&amp;tables!C46&amp;"."&amp;Année,ListeCours[clé_date],0),6),"")</f>
        <v>0.83333333333333337</v>
      </c>
      <c r="AO30" s="44" t="str">
        <f>IFERROR(INDEX(ListeCours[],MATCH(tables!$A$43&amp;"."&amp;tables!C46&amp;"."&amp;Année,ListeCours[clé_date],0),2),"")</f>
        <v>M13</v>
      </c>
      <c r="AP30" s="156" t="str">
        <f>IFERROR(INDEX(ListeCours[],MATCH(tables!$A$43&amp;"."&amp;tables!C46&amp;"."&amp;Année,ListeCours[clé_date],0),16),"")</f>
        <v>LEBOU</v>
      </c>
      <c r="AQ30" s="158">
        <f>IFERROR(INDEX(ListeCours[],MATCH(tables!$A$43&amp;"."&amp;tables!C46&amp;"."&amp;Année,ListeCours[clé_date],0),9),"")</f>
        <v>0</v>
      </c>
      <c r="AR30" s="156"/>
      <c r="AS30" s="156"/>
      <c r="AT30" s="39"/>
      <c r="AU30" s="42">
        <f>IFERROR(INDEX(ListeCours[],MATCH(tables!$A$44&amp;"."&amp;tables!C46&amp;"."&amp;Année,ListeCours[clé_date],0),3),"")</f>
        <v>45225</v>
      </c>
      <c r="AV30" s="43">
        <f>IFERROR(INDEX(ListeCours[],MATCH(tables!$A$44&amp;"."&amp;tables!C46&amp;"."&amp;Année,ListeCours[clé_date],0),5),"")</f>
        <v>0.66666666666666663</v>
      </c>
      <c r="AW30" s="43">
        <f>IFERROR(INDEX(ListeCours[],MATCH(tables!$A$44&amp;"."&amp;tables!C46&amp;"."&amp;Année,ListeCours[clé_date],0),6),"")</f>
        <v>0.83333333333333337</v>
      </c>
      <c r="AX30" s="44" t="str">
        <f>IFERROR(INDEX(ListeCours[],MATCH(tables!$A$44&amp;"."&amp;tables!C46&amp;"."&amp;Année,ListeCours[clé_date],0),2),"")</f>
        <v>M10</v>
      </c>
      <c r="AY30" s="156" t="str">
        <f>IFERROR(INDEX(ListeCours[],MATCH(tables!$A$44&amp;"."&amp;tables!C46&amp;"."&amp;Année,ListeCours[clé_date],0),16),"")</f>
        <v>CHEVR</v>
      </c>
      <c r="AZ30" s="158">
        <f>IFERROR(INDEX(ListeCours[],MATCH(tables!$A$44&amp;"."&amp;tables!C46&amp;"."&amp;Année,ListeCours[clé_date],0),9),"")</f>
        <v>0</v>
      </c>
      <c r="BA30" s="156"/>
      <c r="BB30" s="156"/>
    </row>
    <row r="31" spans="2:54" ht="15" customHeight="1" x14ac:dyDescent="0.25">
      <c r="B31" s="42" t="str">
        <f>IFERROR(INDEX(ListeCours[],MATCH(tables!$A$35&amp;"."&amp;tables!C47&amp;"."&amp;Année,ListeCours[clé_date],0),3),"")</f>
        <v/>
      </c>
      <c r="C31" s="43" t="str">
        <f>IFERROR(INDEX(ListeCours[],MATCH(tables!$A$35&amp;"."&amp;tables!C47&amp;"."&amp;Année,ListeCours[clé_date],0),5),"")</f>
        <v/>
      </c>
      <c r="D31" s="43" t="str">
        <f>IFERROR(INDEX(ListeCours[],MATCH(tables!$A$35&amp;"."&amp;tables!C47&amp;"."&amp;Année,ListeCours[clé_date],0),6),"")</f>
        <v/>
      </c>
      <c r="E31" s="44" t="str">
        <f>IFERROR(INDEX(ListeCours[],MATCH(tables!$A$35&amp;"."&amp;tables!C47&amp;"."&amp;Année,ListeCours[clé_date],0),2),"")</f>
        <v/>
      </c>
      <c r="F31" s="156" t="str">
        <f>IFERROR(INDEX(ListeCours[],MATCH(tables!$A$35&amp;"."&amp;tables!C47&amp;"."&amp;Année,ListeCours[clé_date],0),16),"")</f>
        <v/>
      </c>
      <c r="G31" s="158" t="str">
        <f>IFERROR(INDEX(ListeCours[],MATCH(tables!$A$35&amp;"."&amp;tables!C47&amp;"."&amp;Année,ListeCours[clé_date],0),9),"")</f>
        <v/>
      </c>
      <c r="H31" s="156"/>
      <c r="I31" s="156"/>
      <c r="J31" s="39"/>
      <c r="K31" s="42" t="str">
        <f>IFERROR(INDEX(ListeCours[],MATCH(tables!$A$36&amp;"."&amp;tables!C47&amp;"."&amp;Année,ListeCours[clé_date],0),3),"")</f>
        <v/>
      </c>
      <c r="L31" s="43" t="str">
        <f>IFERROR(INDEX(ListeCours[],MATCH(tables!$A$36&amp;"."&amp;tables!C47&amp;"."&amp;Année,ListeCours[clé_date],0),5),"")</f>
        <v/>
      </c>
      <c r="M31" s="43" t="str">
        <f>IFERROR(INDEX(ListeCours[],MATCH(tables!$A$36&amp;"."&amp;tables!C47&amp;"."&amp;Année,ListeCours[clé_date],0),6),"")</f>
        <v/>
      </c>
      <c r="N31" s="44" t="str">
        <f>IFERROR(INDEX(ListeCours[],MATCH(tables!$A$36&amp;"."&amp;tables!C47&amp;"."&amp;Année,ListeCours[clé_date],0),2),"")</f>
        <v/>
      </c>
      <c r="O31" s="156" t="str">
        <f>IFERROR(INDEX(ListeCours[],MATCH(tables!$A$36&amp;"."&amp;tables!C47&amp;"."&amp;Année,ListeCours[clé_date],0),16),"")</f>
        <v/>
      </c>
      <c r="P31" s="158" t="str">
        <f>IFERROR(INDEX(ListeCours[],MATCH(tables!$A$36&amp;"."&amp;tables!C47&amp;"."&amp;Année,ListeCours[clé_date],0),9),"")</f>
        <v/>
      </c>
      <c r="Q31" s="156"/>
      <c r="R31" s="156"/>
      <c r="T31" s="42">
        <f>IFERROR(INDEX(ListeCours[],MATCH(tables!$A$39&amp;"."&amp;tables!C47&amp;"."&amp;Année,ListeCours[clé_date],0),3),"")</f>
        <v>45073</v>
      </c>
      <c r="U31" s="43">
        <f>IFERROR(INDEX(ListeCours[],MATCH(tables!$A$39&amp;"."&amp;tables!C47&amp;"."&amp;Année,ListeCours[clé_date],0),5),"")</f>
        <v>0.33333333333333331</v>
      </c>
      <c r="V31" s="43">
        <f>IFERROR(INDEX(ListeCours[],MATCH(tables!$A$39&amp;"."&amp;tables!C47&amp;"."&amp;Année,ListeCours[clé_date],0),6),"")</f>
        <v>0.5</v>
      </c>
      <c r="W31" s="44" t="str">
        <f>IFERROR(INDEX(ListeCours[],MATCH(tables!$A$39&amp;"."&amp;tables!C47&amp;"."&amp;Année,ListeCours[clé_date],0),2),"")</f>
        <v>M13</v>
      </c>
      <c r="X31" s="156" t="str">
        <f>IFERROR(INDEX(ListeCours[],MATCH(tables!$A$39&amp;"."&amp;tables!C47&amp;"."&amp;Année,ListeCours[clé_date],0),16),"")</f>
        <v>LEBOU</v>
      </c>
      <c r="Y31" s="158">
        <f>IFERROR(INDEX(ListeCours[],MATCH(tables!$A$39&amp;"."&amp;tables!C47&amp;"."&amp;Année,ListeCours[clé_date],0),9),"")</f>
        <v>0</v>
      </c>
      <c r="Z31" s="156"/>
      <c r="AA31" s="156"/>
      <c r="AB31" s="39"/>
      <c r="AC31" s="42" t="str">
        <f>IFERROR(INDEX(ListeCours[],MATCH(tables!$A$40&amp;"."&amp;tables!C47&amp;"."&amp;Année,ListeCours[clé_date],0),3),"")</f>
        <v/>
      </c>
      <c r="AD31" s="43" t="str">
        <f>IFERROR(INDEX(ListeCours[],MATCH(tables!$A$40&amp;"."&amp;tables!C47&amp;"."&amp;Année,ListeCours[clé_date],0),5),"")</f>
        <v/>
      </c>
      <c r="AE31" s="43" t="str">
        <f>IFERROR(INDEX(ListeCours[],MATCH(tables!$A$40&amp;"."&amp;tables!C47&amp;"."&amp;Année,ListeCours[clé_date],0),6),"")</f>
        <v/>
      </c>
      <c r="AF31" s="44" t="str">
        <f>IFERROR(INDEX(ListeCours[],MATCH(tables!$A$40&amp;"."&amp;tables!C47&amp;"."&amp;Année,ListeCours[clé_date],0),2),"")</f>
        <v/>
      </c>
      <c r="AG31" s="156" t="str">
        <f>IFERROR(INDEX(ListeCours[],MATCH(tables!$A$40&amp;"."&amp;tables!C47&amp;"."&amp;Année,ListeCours[clé_date],0),16),"")</f>
        <v/>
      </c>
      <c r="AH31" s="158" t="str">
        <f>IFERROR(INDEX(ListeCours[],MATCH(tables!$A$40&amp;"."&amp;tables!C47&amp;"."&amp;Année,ListeCours[clé_date],0),9),"")</f>
        <v/>
      </c>
      <c r="AI31" s="156"/>
      <c r="AJ31" s="156"/>
      <c r="AL31" s="42">
        <f>IFERROR(INDEX(ListeCours[],MATCH(tables!$A$43&amp;"."&amp;tables!C47&amp;"."&amp;Année,ListeCours[clé_date],0),3),"")</f>
        <v>45198</v>
      </c>
      <c r="AM31" s="43">
        <f>IFERROR(INDEX(ListeCours[],MATCH(tables!$A$43&amp;"."&amp;tables!C47&amp;"."&amp;Année,ListeCours[clé_date],0),5),"")</f>
        <v>0.58333333333333337</v>
      </c>
      <c r="AN31" s="43">
        <f>IFERROR(INDEX(ListeCours[],MATCH(tables!$A$43&amp;"."&amp;tables!C47&amp;"."&amp;Année,ListeCours[clé_date],0),6),"")</f>
        <v>0.83333333333333337</v>
      </c>
      <c r="AO31" s="44" t="str">
        <f>IFERROR(INDEX(ListeCours[],MATCH(tables!$A$43&amp;"."&amp;tables!C47&amp;"."&amp;Année,ListeCours[clé_date],0),2),"")</f>
        <v>M9</v>
      </c>
      <c r="AP31" s="156" t="str">
        <f>IFERROR(INDEX(ListeCours[],MATCH(tables!$A$43&amp;"."&amp;tables!C47&amp;"."&amp;Année,ListeCours[clé_date],0),16),"")</f>
        <v>CHEVR</v>
      </c>
      <c r="AQ31" s="158">
        <f>IFERROR(INDEX(ListeCours[],MATCH(tables!$A$43&amp;"."&amp;tables!C47&amp;"."&amp;Année,ListeCours[clé_date],0),9),"")</f>
        <v>0</v>
      </c>
      <c r="AR31" s="156"/>
      <c r="AS31" s="156"/>
      <c r="AT31" s="39"/>
      <c r="AU31" s="42">
        <f>IFERROR(INDEX(ListeCours[],MATCH(tables!$A$44&amp;"."&amp;tables!C47&amp;"."&amp;Année,ListeCours[clé_date],0),3),"")</f>
        <v>45226</v>
      </c>
      <c r="AV31" s="43">
        <f>IFERROR(INDEX(ListeCours[],MATCH(tables!$A$44&amp;"."&amp;tables!C47&amp;"."&amp;Année,ListeCours[clé_date],0),5),"")</f>
        <v>0.66666666666666663</v>
      </c>
      <c r="AW31" s="43">
        <f>IFERROR(INDEX(ListeCours[],MATCH(tables!$A$44&amp;"."&amp;tables!C47&amp;"."&amp;Année,ListeCours[clé_date],0),6),"")</f>
        <v>0.70833333333333337</v>
      </c>
      <c r="AX31" s="44" t="str">
        <f>IFERROR(INDEX(ListeCours[],MATCH(tables!$A$44&amp;"."&amp;tables!C47&amp;"."&amp;Année,ListeCours[clé_date],0),2),"")</f>
        <v>M10</v>
      </c>
      <c r="AY31" s="156" t="str">
        <f>IFERROR(INDEX(ListeCours[],MATCH(tables!$A$44&amp;"."&amp;tables!C47&amp;"."&amp;Année,ListeCours[clé_date],0),16),"")</f>
        <v>CHEVR</v>
      </c>
      <c r="AZ31" s="158">
        <f>IFERROR(INDEX(ListeCours[],MATCH(tables!$A$44&amp;"."&amp;tables!C47&amp;"."&amp;Année,ListeCours[clé_date],0),9),"")</f>
        <v>0</v>
      </c>
      <c r="BA31" s="156"/>
      <c r="BB31" s="156"/>
    </row>
    <row r="32" spans="2:54" x14ac:dyDescent="0.25">
      <c r="B32" s="42" t="str">
        <f>IFERROR(INDEX(ListeCours[],MATCH(tables!$A$35&amp;"."&amp;tables!C48&amp;"."&amp;Année,ListeCours[clé_date],0),3),"")</f>
        <v/>
      </c>
      <c r="C32" s="43" t="str">
        <f>IFERROR(INDEX(ListeCours[],MATCH(tables!$A$35&amp;"."&amp;tables!C48&amp;"."&amp;Année,ListeCours[clé_date],0),5),"")</f>
        <v/>
      </c>
      <c r="D32" s="43" t="str">
        <f>IFERROR(INDEX(ListeCours[],MATCH(tables!$A$35&amp;"."&amp;tables!C48&amp;"."&amp;Année,ListeCours[clé_date],0),6),"")</f>
        <v/>
      </c>
      <c r="E32" s="44" t="str">
        <f>IFERROR(INDEX(ListeCours[],MATCH(tables!$A$35&amp;"."&amp;tables!C48&amp;"."&amp;Année,ListeCours[clé_date],0),2),"")</f>
        <v/>
      </c>
      <c r="F32" s="156" t="str">
        <f>IFERROR(INDEX(ListeCours[],MATCH(tables!$A$35&amp;"."&amp;tables!C48&amp;"."&amp;Année,ListeCours[clé_date],0),16),"")</f>
        <v/>
      </c>
      <c r="G32" s="158" t="str">
        <f>IFERROR(INDEX(ListeCours[],MATCH(tables!$A$35&amp;"."&amp;tables!C48&amp;"."&amp;Année,ListeCours[clé_date],0),9),"")</f>
        <v/>
      </c>
      <c r="H32" s="156"/>
      <c r="I32" s="156"/>
      <c r="J32" s="39"/>
      <c r="K32" s="42" t="str">
        <f>IFERROR(INDEX(ListeCours[],MATCH(tables!$A$36&amp;"."&amp;tables!C48&amp;"."&amp;Année,ListeCours[clé_date],0),3),"")</f>
        <v/>
      </c>
      <c r="L32" s="43" t="str">
        <f>IFERROR(INDEX(ListeCours[],MATCH(tables!$A$36&amp;"."&amp;tables!C48&amp;"."&amp;Année,ListeCours[clé_date],0),5),"")</f>
        <v/>
      </c>
      <c r="M32" s="43" t="str">
        <f>IFERROR(INDEX(ListeCours[],MATCH(tables!$A$36&amp;"."&amp;tables!C48&amp;"."&amp;Année,ListeCours[clé_date],0),6),"")</f>
        <v/>
      </c>
      <c r="N32" s="44" t="str">
        <f>IFERROR(INDEX(ListeCours[],MATCH(tables!$A$36&amp;"."&amp;tables!C48&amp;"."&amp;Année,ListeCours[clé_date],0),2),"")</f>
        <v/>
      </c>
      <c r="O32" s="156" t="str">
        <f>IFERROR(INDEX(ListeCours[],MATCH(tables!$A$36&amp;"."&amp;tables!C48&amp;"."&amp;Année,ListeCours[clé_date],0),16),"")</f>
        <v/>
      </c>
      <c r="P32" s="158" t="str">
        <f>IFERROR(INDEX(ListeCours[],MATCH(tables!$A$36&amp;"."&amp;tables!C48&amp;"."&amp;Année,ListeCours[clé_date],0),9),"")</f>
        <v/>
      </c>
      <c r="Q32" s="156"/>
      <c r="R32" s="156"/>
      <c r="T32" s="42" t="str">
        <f>IFERROR(INDEX(ListeCours[],MATCH(tables!$A$39&amp;"."&amp;tables!C48&amp;"."&amp;Année,ListeCours[clé_date],0),3),"")</f>
        <v/>
      </c>
      <c r="U32" s="43" t="str">
        <f>IFERROR(INDEX(ListeCours[],MATCH(tables!$A$39&amp;"."&amp;tables!C48&amp;"."&amp;Année,ListeCours[clé_date],0),5),"")</f>
        <v/>
      </c>
      <c r="V32" s="43" t="str">
        <f>IFERROR(INDEX(ListeCours[],MATCH(tables!$A$39&amp;"."&amp;tables!C48&amp;"."&amp;Année,ListeCours[clé_date],0),6),"")</f>
        <v/>
      </c>
      <c r="W32" s="44" t="str">
        <f>IFERROR(INDEX(ListeCours[],MATCH(tables!$A$39&amp;"."&amp;tables!C48&amp;"."&amp;Année,ListeCours[clé_date],0),2),"")</f>
        <v/>
      </c>
      <c r="X32" s="156" t="str">
        <f>IFERROR(INDEX(ListeCours[],MATCH(tables!$A$39&amp;"."&amp;tables!C48&amp;"."&amp;Année,ListeCours[clé_date],0),16),"")</f>
        <v/>
      </c>
      <c r="Y32" s="158" t="str">
        <f>IFERROR(INDEX(ListeCours[],MATCH(tables!$A$39&amp;"."&amp;tables!C48&amp;"."&amp;Année,ListeCours[clé_date],0),9),"")</f>
        <v/>
      </c>
      <c r="Z32" s="156"/>
      <c r="AA32" s="156"/>
      <c r="AB32" s="39"/>
      <c r="AC32" s="42" t="str">
        <f>IFERROR(INDEX(ListeCours[],MATCH(tables!$A$40&amp;"."&amp;tables!C48&amp;"."&amp;Année,ListeCours[clé_date],0),3),"")</f>
        <v/>
      </c>
      <c r="AD32" s="43" t="str">
        <f>IFERROR(INDEX(ListeCours[],MATCH(tables!$A$40&amp;"."&amp;tables!C48&amp;"."&amp;Année,ListeCours[clé_date],0),5),"")</f>
        <v/>
      </c>
      <c r="AE32" s="43" t="str">
        <f>IFERROR(INDEX(ListeCours[],MATCH(tables!$A$40&amp;"."&amp;tables!C48&amp;"."&amp;Année,ListeCours[clé_date],0),6),"")</f>
        <v/>
      </c>
      <c r="AF32" s="44" t="str">
        <f>IFERROR(INDEX(ListeCours[],MATCH(tables!$A$40&amp;"."&amp;tables!C48&amp;"."&amp;Année,ListeCours[clé_date],0),2),"")</f>
        <v/>
      </c>
      <c r="AG32" s="156" t="str">
        <f>IFERROR(INDEX(ListeCours[],MATCH(tables!$A$40&amp;"."&amp;tables!C48&amp;"."&amp;Année,ListeCours[clé_date],0),16),"")</f>
        <v/>
      </c>
      <c r="AH32" s="158" t="str">
        <f>IFERROR(INDEX(ListeCours[],MATCH(tables!$A$40&amp;"."&amp;tables!C48&amp;"."&amp;Année,ListeCours[clé_date],0),9),"")</f>
        <v/>
      </c>
      <c r="AI32" s="156"/>
      <c r="AJ32" s="156"/>
      <c r="AL32" s="42">
        <f>IFERROR(INDEX(ListeCours[],MATCH(tables!$A$43&amp;"."&amp;tables!C48&amp;"."&amp;Année,ListeCours[clé_date],0),3),"")</f>
        <v>45199</v>
      </c>
      <c r="AM32" s="43">
        <f>IFERROR(INDEX(ListeCours[],MATCH(tables!$A$43&amp;"."&amp;tables!C48&amp;"."&amp;Année,ListeCours[clé_date],0),5),"")</f>
        <v>0.33333333333333331</v>
      </c>
      <c r="AN32" s="43">
        <f>IFERROR(INDEX(ListeCours[],MATCH(tables!$A$43&amp;"."&amp;tables!C48&amp;"."&amp;Année,ListeCours[clé_date],0),6),"")</f>
        <v>0.5</v>
      </c>
      <c r="AO32" s="44" t="str">
        <f>IFERROR(INDEX(ListeCours[],MATCH(tables!$A$43&amp;"."&amp;tables!C48&amp;"."&amp;Année,ListeCours[clé_date],0),2),"")</f>
        <v>M9</v>
      </c>
      <c r="AP32" s="156" t="str">
        <f>IFERROR(INDEX(ListeCours[],MATCH(tables!$A$43&amp;"."&amp;tables!C48&amp;"."&amp;Année,ListeCours[clé_date],0),16),"")</f>
        <v>CHEVR</v>
      </c>
      <c r="AQ32" s="158">
        <f>IFERROR(INDEX(ListeCours[],MATCH(tables!$A$43&amp;"."&amp;tables!C48&amp;"."&amp;Année,ListeCours[clé_date],0),9),"")</f>
        <v>0</v>
      </c>
      <c r="AR32" s="156"/>
      <c r="AS32" s="156"/>
      <c r="AT32" s="39"/>
      <c r="AU32" s="42">
        <f>IFERROR(INDEX(ListeCours[],MATCH(tables!$A$44&amp;"."&amp;tables!C48&amp;"."&amp;Année,ListeCours[clé_date],0),3),"")</f>
        <v>45226</v>
      </c>
      <c r="AV32" s="43">
        <f>IFERROR(INDEX(ListeCours[],MATCH(tables!$A$44&amp;"."&amp;tables!C48&amp;"."&amp;Année,ListeCours[clé_date],0),5),"")</f>
        <v>0.70833333333333337</v>
      </c>
      <c r="AW32" s="43">
        <f>IFERROR(INDEX(ListeCours[],MATCH(tables!$A$44&amp;"."&amp;tables!C48&amp;"."&amp;Année,ListeCours[clé_date],0),6),"")</f>
        <v>0.83333333333333337</v>
      </c>
      <c r="AX32" s="44" t="str">
        <f>IFERROR(INDEX(ListeCours[],MATCH(tables!$A$44&amp;"."&amp;tables!C48&amp;"."&amp;Année,ListeCours[clé_date],0),2),"")</f>
        <v>M11</v>
      </c>
      <c r="AY32" s="156" t="str">
        <f>IFERROR(INDEX(ListeCours[],MATCH(tables!$A$44&amp;"."&amp;tables!C48&amp;"."&amp;Année,ListeCours[clé_date],0),16),"")</f>
        <v>CHEVR</v>
      </c>
      <c r="AZ32" s="158">
        <f>IFERROR(INDEX(ListeCours[],MATCH(tables!$A$44&amp;"."&amp;tables!C48&amp;"."&amp;Année,ListeCours[clé_date],0),9),"")</f>
        <v>0</v>
      </c>
      <c r="BA32" s="156"/>
      <c r="BB32" s="156"/>
    </row>
    <row r="33" spans="2:54" x14ac:dyDescent="0.25">
      <c r="B33" s="42" t="str">
        <f>IFERROR(INDEX(ListeCours[],MATCH(tables!$A$35&amp;"."&amp;tables!C49&amp;"."&amp;Année,ListeCours[clé_date],0),3),"")</f>
        <v/>
      </c>
      <c r="C33" s="43" t="str">
        <f>IFERROR(INDEX(ListeCours[],MATCH(tables!$A$35&amp;"."&amp;tables!C49&amp;"."&amp;Année,ListeCours[clé_date],0),5),"")</f>
        <v/>
      </c>
      <c r="D33" s="43" t="str">
        <f>IFERROR(INDEX(ListeCours[],MATCH(tables!$A$35&amp;"."&amp;tables!C49&amp;"."&amp;Année,ListeCours[clé_date],0),6),"")</f>
        <v/>
      </c>
      <c r="E33" s="44" t="str">
        <f>IFERROR(INDEX(ListeCours[],MATCH(tables!$A$35&amp;"."&amp;tables!C49&amp;"."&amp;Année,ListeCours[clé_date],0),2),"")</f>
        <v/>
      </c>
      <c r="F33" s="156" t="str">
        <f>IFERROR(INDEX(ListeCours[],MATCH(tables!$A$35&amp;"."&amp;tables!C49&amp;"."&amp;Année,ListeCours[clé_date],0),16),"")</f>
        <v/>
      </c>
      <c r="G33" s="158" t="str">
        <f>IFERROR(INDEX(ListeCours[],MATCH(tables!$A$35&amp;"."&amp;tables!C49&amp;"."&amp;Année,ListeCours[clé_date],0),9),"")</f>
        <v/>
      </c>
      <c r="H33" s="156"/>
      <c r="I33" s="156"/>
      <c r="J33" s="39"/>
      <c r="K33" s="42" t="str">
        <f>IFERROR(INDEX(ListeCours[],MATCH(tables!$A$36&amp;"."&amp;tables!C49&amp;"."&amp;Année,ListeCours[clé_date],0),3),"")</f>
        <v/>
      </c>
      <c r="L33" s="43" t="str">
        <f>IFERROR(INDEX(ListeCours[],MATCH(tables!$A$36&amp;"."&amp;tables!C49&amp;"."&amp;Année,ListeCours[clé_date],0),5),"")</f>
        <v/>
      </c>
      <c r="M33" s="43" t="str">
        <f>IFERROR(INDEX(ListeCours[],MATCH(tables!$A$36&amp;"."&amp;tables!C49&amp;"."&amp;Année,ListeCours[clé_date],0),6),"")</f>
        <v/>
      </c>
      <c r="N33" s="44" t="str">
        <f>IFERROR(INDEX(ListeCours[],MATCH(tables!$A$36&amp;"."&amp;tables!C49&amp;"."&amp;Année,ListeCours[clé_date],0),2),"")</f>
        <v/>
      </c>
      <c r="O33" s="156" t="str">
        <f>IFERROR(INDEX(ListeCours[],MATCH(tables!$A$36&amp;"."&amp;tables!C49&amp;"."&amp;Année,ListeCours[clé_date],0),16),"")</f>
        <v/>
      </c>
      <c r="P33" s="158" t="str">
        <f>IFERROR(INDEX(ListeCours[],MATCH(tables!$A$36&amp;"."&amp;tables!C49&amp;"."&amp;Année,ListeCours[clé_date],0),9),"")</f>
        <v/>
      </c>
      <c r="Q33" s="156"/>
      <c r="R33" s="156"/>
      <c r="T33" s="42" t="str">
        <f>IFERROR(INDEX(ListeCours[],MATCH(tables!$A$39&amp;"."&amp;tables!C49&amp;"."&amp;Année,ListeCours[clé_date],0),3),"")</f>
        <v/>
      </c>
      <c r="U33" s="43" t="str">
        <f>IFERROR(INDEX(ListeCours[],MATCH(tables!$A$39&amp;"."&amp;tables!C49&amp;"."&amp;Année,ListeCours[clé_date],0),5),"")</f>
        <v/>
      </c>
      <c r="V33" s="43" t="str">
        <f>IFERROR(INDEX(ListeCours[],MATCH(tables!$A$39&amp;"."&amp;tables!C49&amp;"."&amp;Année,ListeCours[clé_date],0),6),"")</f>
        <v/>
      </c>
      <c r="W33" s="44" t="str">
        <f>IFERROR(INDEX(ListeCours[],MATCH(tables!$A$39&amp;"."&amp;tables!C49&amp;"."&amp;Année,ListeCours[clé_date],0),2),"")</f>
        <v/>
      </c>
      <c r="X33" s="156" t="str">
        <f>IFERROR(INDEX(ListeCours[],MATCH(tables!$A$39&amp;"."&amp;tables!C49&amp;"."&amp;Année,ListeCours[clé_date],0),16),"")</f>
        <v/>
      </c>
      <c r="Y33" s="158" t="str">
        <f>IFERROR(INDEX(ListeCours[],MATCH(tables!$A$39&amp;"."&amp;tables!C49&amp;"."&amp;Année,ListeCours[clé_date],0),9),"")</f>
        <v/>
      </c>
      <c r="Z33" s="156"/>
      <c r="AA33" s="156"/>
      <c r="AB33" s="39"/>
      <c r="AC33" s="42" t="str">
        <f>IFERROR(INDEX(ListeCours[],MATCH(tables!$A$40&amp;"."&amp;tables!C49&amp;"."&amp;Année,ListeCours[clé_date],0),3),"")</f>
        <v/>
      </c>
      <c r="AD33" s="43" t="str">
        <f>IFERROR(INDEX(ListeCours[],MATCH(tables!$A$40&amp;"."&amp;tables!C49&amp;"."&amp;Année,ListeCours[clé_date],0),5),"")</f>
        <v/>
      </c>
      <c r="AE33" s="43" t="str">
        <f>IFERROR(INDEX(ListeCours[],MATCH(tables!$A$40&amp;"."&amp;tables!C49&amp;"."&amp;Année,ListeCours[clé_date],0),6),"")</f>
        <v/>
      </c>
      <c r="AF33" s="44" t="str">
        <f>IFERROR(INDEX(ListeCours[],MATCH(tables!$A$40&amp;"."&amp;tables!C49&amp;"."&amp;Année,ListeCours[clé_date],0),2),"")</f>
        <v/>
      </c>
      <c r="AG33" s="156" t="str">
        <f>IFERROR(INDEX(ListeCours[],MATCH(tables!$A$40&amp;"."&amp;tables!C49&amp;"."&amp;Année,ListeCours[clé_date],0),16),"")</f>
        <v/>
      </c>
      <c r="AH33" s="158" t="str">
        <f>IFERROR(INDEX(ListeCours[],MATCH(tables!$A$40&amp;"."&amp;tables!C49&amp;"."&amp;Année,ListeCours[clé_date],0),9),"")</f>
        <v/>
      </c>
      <c r="AI33" s="156"/>
      <c r="AJ33" s="156"/>
      <c r="AL33" s="42" t="str">
        <f>IFERROR(INDEX(ListeCours[],MATCH(tables!$A$43&amp;"."&amp;tables!C49&amp;"."&amp;Année,ListeCours[clé_date],0),3),"")</f>
        <v/>
      </c>
      <c r="AM33" s="43" t="str">
        <f>IFERROR(INDEX(ListeCours[],MATCH(tables!$A$43&amp;"."&amp;tables!C49&amp;"."&amp;Année,ListeCours[clé_date],0),5),"")</f>
        <v/>
      </c>
      <c r="AN33" s="43" t="str">
        <f>IFERROR(INDEX(ListeCours[],MATCH(tables!$A$43&amp;"."&amp;tables!C49&amp;"."&amp;Année,ListeCours[clé_date],0),6),"")</f>
        <v/>
      </c>
      <c r="AO33" s="44" t="str">
        <f>IFERROR(INDEX(ListeCours[],MATCH(tables!$A$43&amp;"."&amp;tables!C49&amp;"."&amp;Année,ListeCours[clé_date],0),2),"")</f>
        <v/>
      </c>
      <c r="AP33" s="156" t="str">
        <f>IFERROR(INDEX(ListeCours[],MATCH(tables!$A$43&amp;"."&amp;tables!C49&amp;"."&amp;Année,ListeCours[clé_date],0),16),"")</f>
        <v/>
      </c>
      <c r="AQ33" s="158" t="str">
        <f>IFERROR(INDEX(ListeCours[],MATCH(tables!$A$43&amp;"."&amp;tables!C49&amp;"."&amp;Année,ListeCours[clé_date],0),9),"")</f>
        <v/>
      </c>
      <c r="AR33" s="156"/>
      <c r="AS33" s="156"/>
      <c r="AT33" s="39"/>
      <c r="AU33" s="42">
        <f>IFERROR(INDEX(ListeCours[],MATCH(tables!$A$44&amp;"."&amp;tables!C49&amp;"."&amp;Année,ListeCours[clé_date],0),3),"")</f>
        <v>45227</v>
      </c>
      <c r="AV33" s="43">
        <f>IFERROR(INDEX(ListeCours[],MATCH(tables!$A$44&amp;"."&amp;tables!C49&amp;"."&amp;Année,ListeCours[clé_date],0),5),"")</f>
        <v>0.33333333333333331</v>
      </c>
      <c r="AW33" s="43">
        <f>IFERROR(INDEX(ListeCours[],MATCH(tables!$A$44&amp;"."&amp;tables!C49&amp;"."&amp;Année,ListeCours[clé_date],0),6),"")</f>
        <v>0.5</v>
      </c>
      <c r="AX33" s="44" t="str">
        <f>IFERROR(INDEX(ListeCours[],MATCH(tables!$A$44&amp;"."&amp;tables!C49&amp;"."&amp;Année,ListeCours[clé_date],0),2),"")</f>
        <v>M11</v>
      </c>
      <c r="AY33" s="156" t="str">
        <f>IFERROR(INDEX(ListeCours[],MATCH(tables!$A$44&amp;"."&amp;tables!C49&amp;"."&amp;Année,ListeCours[clé_date],0),16),"")</f>
        <v>CHEVR</v>
      </c>
      <c r="AZ33" s="158">
        <f>IFERROR(INDEX(ListeCours[],MATCH(tables!$A$44&amp;"."&amp;tables!C49&amp;"."&amp;Année,ListeCours[clé_date],0),9),"")</f>
        <v>0</v>
      </c>
      <c r="BA33" s="156"/>
      <c r="BB33" s="156"/>
    </row>
    <row r="34" spans="2:54" x14ac:dyDescent="0.25">
      <c r="B34" s="42" t="str">
        <f>IFERROR(INDEX(ListeCours[],MATCH(tables!$A$35&amp;"."&amp;tables!C50&amp;"."&amp;Année,ListeCours[clé_date],0),3),"")</f>
        <v/>
      </c>
      <c r="C34" s="43" t="str">
        <f>IFERROR(INDEX(ListeCours[],MATCH(tables!$A$35&amp;"."&amp;tables!C50&amp;"."&amp;Année,ListeCours[clé_date],0),5),"")</f>
        <v/>
      </c>
      <c r="D34" s="43" t="str">
        <f>IFERROR(INDEX(ListeCours[],MATCH(tables!$A$35&amp;"."&amp;tables!C50&amp;"."&amp;Année,ListeCours[clé_date],0),6),"")</f>
        <v/>
      </c>
      <c r="E34" s="44" t="str">
        <f>IFERROR(INDEX(ListeCours[],MATCH(tables!$A$35&amp;"."&amp;tables!C50&amp;"."&amp;Année,ListeCours[clé_date],0),2),"")</f>
        <v/>
      </c>
      <c r="F34" s="156" t="str">
        <f>IFERROR(INDEX(ListeCours[],MATCH(tables!$A$35&amp;"."&amp;tables!C50&amp;"."&amp;Année,ListeCours[clé_date],0),16),"")</f>
        <v/>
      </c>
      <c r="G34" s="158" t="str">
        <f>IFERROR(INDEX(ListeCours[],MATCH(tables!$A$35&amp;"."&amp;tables!C50&amp;"."&amp;Année,ListeCours[clé_date],0),9),"")</f>
        <v/>
      </c>
      <c r="H34" s="156"/>
      <c r="I34" s="156"/>
      <c r="J34" s="39"/>
      <c r="K34" s="42" t="str">
        <f>IFERROR(INDEX(ListeCours[],MATCH(tables!$A$36&amp;"."&amp;tables!C50&amp;"."&amp;Année,ListeCours[clé_date],0),3),"")</f>
        <v/>
      </c>
      <c r="L34" s="43" t="str">
        <f>IFERROR(INDEX(ListeCours[],MATCH(tables!$A$36&amp;"."&amp;tables!C50&amp;"."&amp;Année,ListeCours[clé_date],0),5),"")</f>
        <v/>
      </c>
      <c r="M34" s="43" t="str">
        <f>IFERROR(INDEX(ListeCours[],MATCH(tables!$A$36&amp;"."&amp;tables!C50&amp;"."&amp;Année,ListeCours[clé_date],0),6),"")</f>
        <v/>
      </c>
      <c r="N34" s="44" t="str">
        <f>IFERROR(INDEX(ListeCours[],MATCH(tables!$A$36&amp;"."&amp;tables!C50&amp;"."&amp;Année,ListeCours[clé_date],0),2),"")</f>
        <v/>
      </c>
      <c r="O34" s="156" t="str">
        <f>IFERROR(INDEX(ListeCours[],MATCH(tables!$A$36&amp;"."&amp;tables!C50&amp;"."&amp;Année,ListeCours[clé_date],0),16),"")</f>
        <v/>
      </c>
      <c r="P34" s="158" t="str">
        <f>IFERROR(INDEX(ListeCours[],MATCH(tables!$A$36&amp;"."&amp;tables!C50&amp;"."&amp;Année,ListeCours[clé_date],0),9),"")</f>
        <v/>
      </c>
      <c r="Q34" s="156"/>
      <c r="R34" s="156"/>
      <c r="T34" s="42" t="str">
        <f>IFERROR(INDEX(ListeCours[],MATCH(tables!$A$39&amp;"."&amp;tables!C50&amp;"."&amp;Année,ListeCours[clé_date],0),3),"")</f>
        <v/>
      </c>
      <c r="U34" s="43" t="str">
        <f>IFERROR(INDEX(ListeCours[],MATCH(tables!$A$39&amp;"."&amp;tables!C50&amp;"."&amp;Année,ListeCours[clé_date],0),5),"")</f>
        <v/>
      </c>
      <c r="V34" s="43" t="str">
        <f>IFERROR(INDEX(ListeCours[],MATCH(tables!$A$39&amp;"."&amp;tables!C50&amp;"."&amp;Année,ListeCours[clé_date],0),6),"")</f>
        <v/>
      </c>
      <c r="W34" s="44" t="str">
        <f>IFERROR(INDEX(ListeCours[],MATCH(tables!$A$39&amp;"."&amp;tables!C50&amp;"."&amp;Année,ListeCours[clé_date],0),2),"")</f>
        <v/>
      </c>
      <c r="X34" s="156" t="str">
        <f>IFERROR(INDEX(ListeCours[],MATCH(tables!$A$39&amp;"."&amp;tables!C50&amp;"."&amp;Année,ListeCours[clé_date],0),16),"")</f>
        <v/>
      </c>
      <c r="Y34" s="158" t="str">
        <f>IFERROR(INDEX(ListeCours[],MATCH(tables!$A$39&amp;"."&amp;tables!C50&amp;"."&amp;Année,ListeCours[clé_date],0),9),"")</f>
        <v/>
      </c>
      <c r="Z34" s="156"/>
      <c r="AA34" s="156"/>
      <c r="AB34" s="39"/>
      <c r="AC34" s="42" t="str">
        <f>IFERROR(INDEX(ListeCours[],MATCH(tables!$A$40&amp;"."&amp;tables!C50&amp;"."&amp;Année,ListeCours[clé_date],0),3),"")</f>
        <v/>
      </c>
      <c r="AD34" s="43" t="str">
        <f>IFERROR(INDEX(ListeCours[],MATCH(tables!$A$40&amp;"."&amp;tables!C50&amp;"."&amp;Année,ListeCours[clé_date],0),5),"")</f>
        <v/>
      </c>
      <c r="AE34" s="43" t="str">
        <f>IFERROR(INDEX(ListeCours[],MATCH(tables!$A$40&amp;"."&amp;tables!C50&amp;"."&amp;Année,ListeCours[clé_date],0),6),"")</f>
        <v/>
      </c>
      <c r="AF34" s="44" t="str">
        <f>IFERROR(INDEX(ListeCours[],MATCH(tables!$A$40&amp;"."&amp;tables!C50&amp;"."&amp;Année,ListeCours[clé_date],0),2),"")</f>
        <v/>
      </c>
      <c r="AG34" s="156" t="str">
        <f>IFERROR(INDEX(ListeCours[],MATCH(tables!$A$40&amp;"."&amp;tables!C50&amp;"."&amp;Année,ListeCours[clé_date],0),16),"")</f>
        <v/>
      </c>
      <c r="AH34" s="158" t="str">
        <f>IFERROR(INDEX(ListeCours[],MATCH(tables!$A$40&amp;"."&amp;tables!C50&amp;"."&amp;Année,ListeCours[clé_date],0),9),"")</f>
        <v/>
      </c>
      <c r="AI34" s="156"/>
      <c r="AJ34" s="156"/>
      <c r="AL34" s="42" t="str">
        <f>IFERROR(INDEX(ListeCours[],MATCH(tables!$A$43&amp;"."&amp;tables!C50&amp;"."&amp;Année,ListeCours[clé_date],0),3),"")</f>
        <v/>
      </c>
      <c r="AM34" s="43" t="str">
        <f>IFERROR(INDEX(ListeCours[],MATCH(tables!$A$43&amp;"."&amp;tables!C50&amp;"."&amp;Année,ListeCours[clé_date],0),5),"")</f>
        <v/>
      </c>
      <c r="AN34" s="43" t="str">
        <f>IFERROR(INDEX(ListeCours[],MATCH(tables!$A$43&amp;"."&amp;tables!C50&amp;"."&amp;Année,ListeCours[clé_date],0),6),"")</f>
        <v/>
      </c>
      <c r="AO34" s="44" t="str">
        <f>IFERROR(INDEX(ListeCours[],MATCH(tables!$A$43&amp;"."&amp;tables!C50&amp;"."&amp;Année,ListeCours[clé_date],0),2),"")</f>
        <v/>
      </c>
      <c r="AP34" s="156" t="str">
        <f>IFERROR(INDEX(ListeCours[],MATCH(tables!$A$43&amp;"."&amp;tables!C50&amp;"."&amp;Année,ListeCours[clé_date],0),16),"")</f>
        <v/>
      </c>
      <c r="AQ34" s="158" t="str">
        <f>IFERROR(INDEX(ListeCours[],MATCH(tables!$A$43&amp;"."&amp;tables!C50&amp;"."&amp;Année,ListeCours[clé_date],0),9),"")</f>
        <v/>
      </c>
      <c r="AR34" s="156"/>
      <c r="AS34" s="156"/>
      <c r="AT34" s="39"/>
      <c r="AU34" s="42" t="str">
        <f>IFERROR(INDEX(ListeCours[],MATCH(tables!$A$44&amp;"."&amp;tables!C50&amp;"."&amp;Année,ListeCours[clé_date],0),3),"")</f>
        <v/>
      </c>
      <c r="AV34" s="43" t="str">
        <f>IFERROR(INDEX(ListeCours[],MATCH(tables!$A$44&amp;"."&amp;tables!C50&amp;"."&amp;Année,ListeCours[clé_date],0),5),"")</f>
        <v/>
      </c>
      <c r="AW34" s="43" t="str">
        <f>IFERROR(INDEX(ListeCours[],MATCH(tables!$A$44&amp;"."&amp;tables!C50&amp;"."&amp;Année,ListeCours[clé_date],0),6),"")</f>
        <v/>
      </c>
      <c r="AX34" s="44" t="str">
        <f>IFERROR(INDEX(ListeCours[],MATCH(tables!$A$44&amp;"."&amp;tables!C50&amp;"."&amp;Année,ListeCours[clé_date],0),2),"")</f>
        <v/>
      </c>
      <c r="AY34" s="156" t="str">
        <f>IFERROR(INDEX(ListeCours[],MATCH(tables!$A$44&amp;"."&amp;tables!C50&amp;"."&amp;Année,ListeCours[clé_date],0),16),"")</f>
        <v/>
      </c>
      <c r="AZ34" s="158" t="str">
        <f>IFERROR(INDEX(ListeCours[],MATCH(tables!$A$44&amp;"."&amp;tables!C50&amp;"."&amp;Année,ListeCours[clé_date],0),9),"")</f>
        <v/>
      </c>
      <c r="BA34" s="156"/>
      <c r="BB34" s="156"/>
    </row>
    <row r="35" spans="2:54" ht="15.75" thickBot="1" x14ac:dyDescent="0.3">
      <c r="B35" s="46" t="str">
        <f>IFERROR(INDEX(ListeCours[],MATCH(tables!$A$35&amp;"."&amp;tables!C51&amp;"."&amp;Année,ListeCours[clé_date],0),3),"")</f>
        <v/>
      </c>
      <c r="C35" s="47" t="str">
        <f>IFERROR(INDEX(ListeCours[],MATCH(tables!$A$35&amp;"."&amp;tables!C51&amp;"."&amp;Année,ListeCours[clé_date],0),5),"")</f>
        <v/>
      </c>
      <c r="D35" s="47" t="str">
        <f>IFERROR(INDEX(ListeCours[],MATCH(tables!$A$35&amp;"."&amp;tables!C51&amp;"."&amp;Année,ListeCours[clé_date],0),6),"")</f>
        <v/>
      </c>
      <c r="E35" s="48" t="str">
        <f>IFERROR(INDEX(ListeCours[],MATCH(tables!$A$35&amp;"."&amp;tables!C51&amp;"."&amp;Année,ListeCours[clé_date],0),2),"")</f>
        <v/>
      </c>
      <c r="F35" s="157" t="str">
        <f>IFERROR(INDEX(ListeCours[],MATCH(tables!$A$35&amp;"."&amp;tables!C51&amp;"."&amp;Année,ListeCours[clé_date],0),16),"")</f>
        <v/>
      </c>
      <c r="G35" s="162" t="str">
        <f>IFERROR(INDEX(ListeCours[],MATCH(tables!$A$35&amp;"."&amp;tables!C51&amp;"."&amp;Année,ListeCours[clé_date],0),9),"")</f>
        <v/>
      </c>
      <c r="H35" s="157"/>
      <c r="I35" s="157"/>
      <c r="J35" s="39"/>
      <c r="K35" s="46" t="str">
        <f>IFERROR(INDEX(ListeCours[],MATCH(tables!$A$36&amp;"."&amp;tables!C51&amp;"."&amp;Année,ListeCours[clé_date],0),3),"")</f>
        <v/>
      </c>
      <c r="L35" s="47" t="str">
        <f>IFERROR(INDEX(ListeCours[],MATCH(tables!$A$36&amp;"."&amp;tables!C51&amp;"."&amp;Année,ListeCours[clé_date],0),5),"")</f>
        <v/>
      </c>
      <c r="M35" s="47" t="str">
        <f>IFERROR(INDEX(ListeCours[],MATCH(tables!$A$36&amp;"."&amp;tables!C51&amp;"."&amp;Année,ListeCours[clé_date],0),6),"")</f>
        <v/>
      </c>
      <c r="N35" s="48" t="str">
        <f>IFERROR(INDEX(ListeCours[],MATCH(tables!$A$36&amp;"."&amp;tables!C51&amp;"."&amp;Année,ListeCours[clé_date],0),2),"")</f>
        <v/>
      </c>
      <c r="O35" s="157" t="str">
        <f>IFERROR(INDEX(ListeCours[],MATCH(tables!$A$36&amp;"."&amp;tables!C51&amp;"."&amp;Année,ListeCours[clé_date],0),16),"")</f>
        <v/>
      </c>
      <c r="P35" s="162" t="str">
        <f>IFERROR(INDEX(ListeCours[],MATCH(tables!$A$36&amp;"."&amp;tables!C51&amp;"."&amp;Année,ListeCours[clé_date],0),9),"")</f>
        <v/>
      </c>
      <c r="Q35" s="157"/>
      <c r="R35" s="157"/>
      <c r="T35" s="46" t="str">
        <f>IFERROR(INDEX(ListeCours[],MATCH(tables!$A$39&amp;"."&amp;tables!C51&amp;"."&amp;Année,ListeCours[clé_date],0),3),"")</f>
        <v/>
      </c>
      <c r="U35" s="47" t="str">
        <f>IFERROR(INDEX(ListeCours[],MATCH(tables!$A$39&amp;"."&amp;tables!C51&amp;"."&amp;Année,ListeCours[clé_date],0),5),"")</f>
        <v/>
      </c>
      <c r="V35" s="47" t="str">
        <f>IFERROR(INDEX(ListeCours[],MATCH(tables!$A$39&amp;"."&amp;tables!C51&amp;"."&amp;Année,ListeCours[clé_date],0),6),"")</f>
        <v/>
      </c>
      <c r="W35" s="48" t="str">
        <f>IFERROR(INDEX(ListeCours[],MATCH(tables!$A$39&amp;"."&amp;tables!C51&amp;"."&amp;Année,ListeCours[clé_date],0),2),"")</f>
        <v/>
      </c>
      <c r="X35" s="157" t="str">
        <f>IFERROR(INDEX(ListeCours[],MATCH(tables!$A$39&amp;"."&amp;tables!C51&amp;"."&amp;Année,ListeCours[clé_date],0),16),"")</f>
        <v/>
      </c>
      <c r="Y35" s="162" t="str">
        <f>IFERROR(INDEX(ListeCours[],MATCH(tables!$A$39&amp;"."&amp;tables!C51&amp;"."&amp;Année,ListeCours[clé_date],0),9),"")</f>
        <v/>
      </c>
      <c r="Z35" s="157"/>
      <c r="AA35" s="157"/>
      <c r="AB35" s="39"/>
      <c r="AC35" s="46" t="str">
        <f>IFERROR(INDEX(ListeCours[],MATCH(tables!$A$40&amp;"."&amp;tables!C51&amp;"."&amp;Année,ListeCours[clé_date],0),3),"")</f>
        <v/>
      </c>
      <c r="AD35" s="47" t="str">
        <f>IFERROR(INDEX(ListeCours[],MATCH(tables!$A$40&amp;"."&amp;tables!C51&amp;"."&amp;Année,ListeCours[clé_date],0),5),"")</f>
        <v/>
      </c>
      <c r="AE35" s="47" t="str">
        <f>IFERROR(INDEX(ListeCours[],MATCH(tables!$A$40&amp;"."&amp;tables!C51&amp;"."&amp;Année,ListeCours[clé_date],0),6),"")</f>
        <v/>
      </c>
      <c r="AF35" s="48" t="str">
        <f>IFERROR(INDEX(ListeCours[],MATCH(tables!$A$40&amp;"."&amp;tables!C51&amp;"."&amp;Année,ListeCours[clé_date],0),2),"")</f>
        <v/>
      </c>
      <c r="AG35" s="157" t="str">
        <f>IFERROR(INDEX(ListeCours[],MATCH(tables!$A$40&amp;"."&amp;tables!C51&amp;"."&amp;Année,ListeCours[clé_date],0),16),"")</f>
        <v/>
      </c>
      <c r="AH35" s="162" t="str">
        <f>IFERROR(INDEX(ListeCours[],MATCH(tables!$A$40&amp;"."&amp;tables!C51&amp;"."&amp;Année,ListeCours[clé_date],0),9),"")</f>
        <v/>
      </c>
      <c r="AI35" s="157"/>
      <c r="AJ35" s="157"/>
      <c r="AL35" s="46" t="str">
        <f>IFERROR(INDEX(ListeCours[],MATCH(tables!$A$43&amp;"."&amp;tables!C51&amp;"."&amp;Année,ListeCours[clé_date],0),3),"")</f>
        <v/>
      </c>
      <c r="AM35" s="47" t="str">
        <f>IFERROR(INDEX(ListeCours[],MATCH(tables!$A$43&amp;"."&amp;tables!C51&amp;"."&amp;Année,ListeCours[clé_date],0),5),"")</f>
        <v/>
      </c>
      <c r="AN35" s="47" t="str">
        <f>IFERROR(INDEX(ListeCours[],MATCH(tables!$A$43&amp;"."&amp;tables!C51&amp;"."&amp;Année,ListeCours[clé_date],0),6),"")</f>
        <v/>
      </c>
      <c r="AO35" s="48" t="str">
        <f>IFERROR(INDEX(ListeCours[],MATCH(tables!$A$43&amp;"."&amp;tables!C51&amp;"."&amp;Année,ListeCours[clé_date],0),2),"")</f>
        <v/>
      </c>
      <c r="AP35" s="157" t="str">
        <f>IFERROR(INDEX(ListeCours[],MATCH(tables!$A$43&amp;"."&amp;tables!C51&amp;"."&amp;Année,ListeCours[clé_date],0),16),"")</f>
        <v/>
      </c>
      <c r="AQ35" s="162" t="str">
        <f>IFERROR(INDEX(ListeCours[],MATCH(tables!$A$43&amp;"."&amp;tables!C51&amp;"."&amp;Année,ListeCours[clé_date],0),9),"")</f>
        <v/>
      </c>
      <c r="AR35" s="157"/>
      <c r="AS35" s="157"/>
      <c r="AT35" s="39"/>
      <c r="AU35" s="46" t="str">
        <f>IFERROR(INDEX(ListeCours[],MATCH(tables!$A$44&amp;"."&amp;tables!C51&amp;"."&amp;Année,ListeCours[clé_date],0),3),"")</f>
        <v/>
      </c>
      <c r="AV35" s="47" t="str">
        <f>IFERROR(INDEX(ListeCours[],MATCH(tables!$A$44&amp;"."&amp;tables!C51&amp;"."&amp;Année,ListeCours[clé_date],0),5),"")</f>
        <v/>
      </c>
      <c r="AW35" s="47" t="str">
        <f>IFERROR(INDEX(ListeCours[],MATCH(tables!$A$44&amp;"."&amp;tables!C51&amp;"."&amp;Année,ListeCours[clé_date],0),6),"")</f>
        <v/>
      </c>
      <c r="AX35" s="48" t="str">
        <f>IFERROR(INDEX(ListeCours[],MATCH(tables!$A$44&amp;"."&amp;tables!C51&amp;"."&amp;Année,ListeCours[clé_date],0),2),"")</f>
        <v/>
      </c>
      <c r="AY35" s="157" t="str">
        <f>IFERROR(INDEX(ListeCours[],MATCH(tables!$A$44&amp;"."&amp;tables!C51&amp;"."&amp;Année,ListeCours[clé_date],0),16),"")</f>
        <v/>
      </c>
      <c r="AZ35" s="162" t="str">
        <f>IFERROR(INDEX(ListeCours[],MATCH(tables!$A$44&amp;"."&amp;tables!C51&amp;"."&amp;Année,ListeCours[clé_date],0),9),"")</f>
        <v/>
      </c>
      <c r="BA35" s="157"/>
      <c r="BB35" s="157"/>
    </row>
    <row r="36" spans="2:54" ht="15.75" customHeight="1" thickTop="1" x14ac:dyDescent="0.25">
      <c r="B36" s="45">
        <f>IFERROR(INDEX(ListeCours[],MATCH(tables!$A$37&amp;"."&amp;tables!C35&amp;"."&amp;Année,ListeCours[clé_date],0),3),"")</f>
        <v>44987</v>
      </c>
      <c r="C36" s="49">
        <f>IFERROR(INDEX(ListeCours[],MATCH(tables!$A$37&amp;"."&amp;tables!C35&amp;"."&amp;Année,ListeCours[clé_date],0),5),"")</f>
        <v>0.70833333333333337</v>
      </c>
      <c r="D36" s="49">
        <f>IFERROR(INDEX(ListeCours[],MATCH(tables!$A$37&amp;"."&amp;tables!C35&amp;"."&amp;Année,ListeCours[clé_date],0),6),"")</f>
        <v>0.83333333333333337</v>
      </c>
      <c r="E36" s="50" t="str">
        <f>IFERROR(INDEX(ListeCours[],MATCH(tables!$A$37&amp;"."&amp;tables!C35&amp;"."&amp;Année,ListeCours[clé_date],0),2),"")</f>
        <v>M1.2</v>
      </c>
      <c r="F36" s="160" t="str">
        <f>IFERROR(INDEX(ListeCours[],MATCH(tables!$A$37&amp;"."&amp;tables!C35&amp;"."&amp;Année,ListeCours[clé_date],0),16),"")</f>
        <v>THIAW</v>
      </c>
      <c r="G36" s="161">
        <f>IFERROR(INDEX(ListeCours[],MATCH(tables!$A$37&amp;"."&amp;tables!C35&amp;"."&amp;Année,ListeCours[clé_date],0),9),"")</f>
        <v>0</v>
      </c>
      <c r="H36" s="160"/>
      <c r="I36" s="160"/>
      <c r="J36" s="39"/>
      <c r="K36" s="45">
        <f>IFERROR(INDEX(ListeCours[],MATCH(tables!$A$38&amp;"."&amp;tables!C35&amp;"."&amp;Année,ListeCours[clé_date],0),3),"")</f>
        <v>45017</v>
      </c>
      <c r="L36" s="49">
        <f>IFERROR(INDEX(ListeCours[],MATCH(tables!$A$38&amp;"."&amp;tables!C35&amp;"."&amp;Année,ListeCours[clé_date],0),5),"")</f>
        <v>0.33333333333333331</v>
      </c>
      <c r="M36" s="49">
        <f>IFERROR(INDEX(ListeCours[],MATCH(tables!$A$38&amp;"."&amp;tables!C35&amp;"."&amp;Année,ListeCours[clé_date],0),6),"")</f>
        <v>0.375</v>
      </c>
      <c r="N36" s="50" t="str">
        <f>IFERROR(INDEX(ListeCours[],MATCH(tables!$A$38&amp;"."&amp;tables!C35&amp;"."&amp;Année,ListeCours[clé_date],0),2),"")</f>
        <v>M5.1</v>
      </c>
      <c r="O36" s="160" t="str">
        <f>IFERROR(INDEX(ListeCours[],MATCH(tables!$A$38&amp;"."&amp;tables!C35&amp;"."&amp;Année,ListeCours[clé_date],0),16),"")</f>
        <v>QUILL</v>
      </c>
      <c r="P36" s="161">
        <f>IFERROR(INDEX(ListeCours[],MATCH(tables!$A$38&amp;"."&amp;tables!C35&amp;"."&amp;Année,ListeCours[clé_date],0),9),"")</f>
        <v>0</v>
      </c>
      <c r="Q36" s="160"/>
      <c r="R36" s="160"/>
      <c r="T36" s="45">
        <f>IFERROR(INDEX(ListeCours[],MATCH(tables!$A$41&amp;"."&amp;tables!C35&amp;"."&amp;Année,ListeCours[clé_date],0),3),"")</f>
        <v>45108</v>
      </c>
      <c r="U36" s="49">
        <f>IFERROR(INDEX(ListeCours[],MATCH(tables!$A$41&amp;"."&amp;tables!C35&amp;"."&amp;Année,ListeCours[clé_date],0),5),"")</f>
        <v>0.33333333333333331</v>
      </c>
      <c r="V36" s="49">
        <f>IFERROR(INDEX(ListeCours[],MATCH(tables!$A$41&amp;"."&amp;tables!C35&amp;"."&amp;Année,ListeCours[clé_date],0),6),"")</f>
        <v>0.5</v>
      </c>
      <c r="W36" s="50" t="str">
        <f>IFERROR(INDEX(ListeCours[],MATCH(tables!$A$41&amp;"."&amp;tables!C35&amp;"."&amp;Année,ListeCours[clé_date],0),2),"")</f>
        <v>M7.3</v>
      </c>
      <c r="X36" s="160" t="str">
        <f>IFERROR(INDEX(ListeCours[],MATCH(tables!$A$41&amp;"."&amp;tables!C35&amp;"."&amp;Année,ListeCours[clé_date],0),16),"")</f>
        <v>QUILL</v>
      </c>
      <c r="Y36" s="161">
        <f>IFERROR(INDEX(ListeCours[],MATCH(tables!$A$41&amp;"."&amp;tables!C35&amp;"."&amp;Année,ListeCours[clé_date],0),9),"")</f>
        <v>0</v>
      </c>
      <c r="Z36" s="160"/>
      <c r="AA36" s="160"/>
      <c r="AB36" s="39"/>
      <c r="AC36" s="45">
        <f>IFERROR(INDEX(ListeCours[],MATCH(tables!$A$42&amp;"."&amp;tables!C35&amp;"."&amp;Année,ListeCours[clé_date],0),3),"")</f>
        <v>45141</v>
      </c>
      <c r="AD36" s="49">
        <f>IFERROR(INDEX(ListeCours[],MATCH(tables!$A$42&amp;"."&amp;tables!C35&amp;"."&amp;Année,ListeCours[clé_date],0),5),"")</f>
        <v>0.70833333333333337</v>
      </c>
      <c r="AE36" s="49">
        <f>IFERROR(INDEX(ListeCours[],MATCH(tables!$A$42&amp;"."&amp;tables!C35&amp;"."&amp;Année,ListeCours[clé_date],0),6),"")</f>
        <v>0.83333333333333337</v>
      </c>
      <c r="AF36" s="50" t="str">
        <f>IFERROR(INDEX(ListeCours[],MATCH(tables!$A$42&amp;"."&amp;tables!C35&amp;"."&amp;Année,ListeCours[clé_date],0),2),"")</f>
        <v>M4.1</v>
      </c>
      <c r="AG36" s="160" t="str">
        <f>IFERROR(INDEX(ListeCours[],MATCH(tables!$A$42&amp;"."&amp;tables!C35&amp;"."&amp;Année,ListeCours[clé_date],0),16),"")</f>
        <v>LABOR</v>
      </c>
      <c r="AH36" s="161">
        <f>IFERROR(INDEX(ListeCours[],MATCH(tables!$A$42&amp;"."&amp;tables!C35&amp;"."&amp;Année,ListeCours[clé_date],0),9),"")</f>
        <v>0</v>
      </c>
      <c r="AI36" s="160"/>
      <c r="AJ36" s="160"/>
      <c r="AL36" s="45">
        <f>IFERROR(INDEX(ListeCours[],MATCH(tables!$A$45&amp;"."&amp;tables!C35&amp;"."&amp;Année,ListeCours[clé_date],0),3),"")</f>
        <v>45232</v>
      </c>
      <c r="AM36" s="49">
        <f>IFERROR(INDEX(ListeCours[],MATCH(tables!$A$45&amp;"."&amp;tables!C35&amp;"."&amp;Année,ListeCours[clé_date],0),5),"")</f>
        <v>0.70833333333333337</v>
      </c>
      <c r="AN36" s="49">
        <f>IFERROR(INDEX(ListeCours[],MATCH(tables!$A$45&amp;"."&amp;tables!C35&amp;"."&amp;Année,ListeCours[clé_date],0),6),"")</f>
        <v>0.79166666666666663</v>
      </c>
      <c r="AO36" s="50" t="str">
        <f>IFERROR(INDEX(ListeCours[],MATCH(tables!$A$45&amp;"."&amp;tables!C35&amp;"."&amp;Année,ListeCours[clé_date],0),2),"")</f>
        <v>M12.1</v>
      </c>
      <c r="AP36" s="160" t="str">
        <f>IFERROR(INDEX(ListeCours[],MATCH(tables!$A$45&amp;"."&amp;tables!C35&amp;"."&amp;Année,ListeCours[clé_date],0),16),"")</f>
        <v>COURL</v>
      </c>
      <c r="AQ36" s="161">
        <f>IFERROR(INDEX(ListeCours[],MATCH(tables!$A$45&amp;"."&amp;tables!C35&amp;"."&amp;Année,ListeCours[clé_date],0),9),"")</f>
        <v>0</v>
      </c>
      <c r="AR36" s="160"/>
      <c r="AS36" s="160"/>
      <c r="AT36" s="39"/>
      <c r="AU36" s="45">
        <f>IFERROR(INDEX(ListeCours[],MATCH(tables!$A$46&amp;"."&amp;tables!C35&amp;"."&amp;Année,ListeCours[clé_date],0),3),"")</f>
        <v>45264</v>
      </c>
      <c r="AV36" s="49">
        <f>IFERROR(INDEX(ListeCours[],MATCH(tables!$A$46&amp;"."&amp;tables!C35&amp;"."&amp;Année,ListeCours[clé_date],0),5),"")</f>
        <v>0</v>
      </c>
      <c r="AW36" s="49">
        <f>IFERROR(INDEX(ListeCours[],MATCH(tables!$A$46&amp;"."&amp;tables!C35&amp;"."&amp;Année,ListeCours[clé_date],0),6),"")</f>
        <v>0</v>
      </c>
      <c r="AX36" s="50" t="str">
        <f>IFERROR(INDEX(ListeCours[],MATCH(tables!$A$46&amp;"."&amp;tables!C35&amp;"."&amp;Année,ListeCours[clé_date],0),2),"")</f>
        <v>EV-s2</v>
      </c>
      <c r="AY36" s="160" t="str">
        <f>IFERROR(INDEX(ListeCours[],MATCH(tables!$A$46&amp;"."&amp;tables!C35&amp;"."&amp;Année,ListeCours[clé_date],0),16),"")</f>
        <v/>
      </c>
      <c r="AZ36" s="161" t="str">
        <f>IFERROR(INDEX(ListeCours[],MATCH(tables!$A$46&amp;"."&amp;tables!C35&amp;"."&amp;Année,ListeCours[clé_date],0),9),"")</f>
        <v>évaluations session 2</v>
      </c>
      <c r="BA36" s="160"/>
      <c r="BB36" s="160"/>
    </row>
    <row r="37" spans="2:54" ht="15" customHeight="1" x14ac:dyDescent="0.25">
      <c r="B37" s="45">
        <f>IFERROR(INDEX(ListeCours[],MATCH(tables!$A$37&amp;"."&amp;tables!C36&amp;"."&amp;Année,ListeCours[clé_date],0),3),"")</f>
        <v>44988</v>
      </c>
      <c r="C37" s="49">
        <f>IFERROR(INDEX(ListeCours[],MATCH(tables!$A$37&amp;"."&amp;tables!C36&amp;"."&amp;Année,ListeCours[clé_date],0),5),"")</f>
        <v>0.70833333333333337</v>
      </c>
      <c r="D37" s="49">
        <f>IFERROR(INDEX(ListeCours[],MATCH(tables!$A$37&amp;"."&amp;tables!C36&amp;"."&amp;Année,ListeCours[clé_date],0),6),"")</f>
        <v>0.83333333333333337</v>
      </c>
      <c r="E37" s="50" t="str">
        <f>IFERROR(INDEX(ListeCours[],MATCH(tables!$A$37&amp;"."&amp;tables!C36&amp;"."&amp;Année,ListeCours[clé_date],0),2),"")</f>
        <v>M1.2</v>
      </c>
      <c r="F37" s="156" t="str">
        <f>IFERROR(INDEX(ListeCours[],MATCH(tables!$A$37&amp;"."&amp;tables!C36&amp;"."&amp;Année,ListeCours[clé_date],0),16),"")</f>
        <v>THIAW</v>
      </c>
      <c r="G37" s="158">
        <f>IFERROR(INDEX(ListeCours[],MATCH(tables!$A$37&amp;"."&amp;tables!C36&amp;"."&amp;Année,ListeCours[clé_date],0),9),"")</f>
        <v>0</v>
      </c>
      <c r="H37" s="156"/>
      <c r="I37" s="156"/>
      <c r="J37" s="39"/>
      <c r="K37" s="45">
        <f>IFERROR(INDEX(ListeCours[],MATCH(tables!$A$38&amp;"."&amp;tables!C36&amp;"."&amp;Année,ListeCours[clé_date],0),3),"")</f>
        <v>45017</v>
      </c>
      <c r="L37" s="49">
        <f>IFERROR(INDEX(ListeCours[],MATCH(tables!$A$38&amp;"."&amp;tables!C36&amp;"."&amp;Année,ListeCours[clé_date],0),5),"")</f>
        <v>0.375</v>
      </c>
      <c r="M37" s="49">
        <f>IFERROR(INDEX(ListeCours[],MATCH(tables!$A$38&amp;"."&amp;tables!C36&amp;"."&amp;Année,ListeCours[clé_date],0),6),"")</f>
        <v>0.5</v>
      </c>
      <c r="N37" s="50" t="str">
        <f>IFERROR(INDEX(ListeCours[],MATCH(tables!$A$38&amp;"."&amp;tables!C36&amp;"."&amp;Année,ListeCours[clé_date],0),2),"")</f>
        <v>M5.2</v>
      </c>
      <c r="O37" s="156" t="str">
        <f>IFERROR(INDEX(ListeCours[],MATCH(tables!$A$38&amp;"."&amp;tables!C36&amp;"."&amp;Année,ListeCours[clé_date],0),16),"")</f>
        <v>QUILL</v>
      </c>
      <c r="P37" s="158">
        <f>IFERROR(INDEX(ListeCours[],MATCH(tables!$A$38&amp;"."&amp;tables!C36&amp;"."&amp;Année,ListeCours[clé_date],0),9),"")</f>
        <v>0</v>
      </c>
      <c r="Q37" s="156"/>
      <c r="R37" s="156"/>
      <c r="T37" s="45">
        <f>IFERROR(INDEX(ListeCours[],MATCH(tables!$A$41&amp;"."&amp;tables!C36&amp;"."&amp;Année,ListeCours[clé_date],0),3),"")</f>
        <v>45113</v>
      </c>
      <c r="U37" s="49">
        <f>IFERROR(INDEX(ListeCours[],MATCH(tables!$A$41&amp;"."&amp;tables!C36&amp;"."&amp;Année,ListeCours[clé_date],0),5),"")</f>
        <v>0.70833333333333337</v>
      </c>
      <c r="V37" s="49">
        <f>IFERROR(INDEX(ListeCours[],MATCH(tables!$A$41&amp;"."&amp;tables!C36&amp;"."&amp;Année,ListeCours[clé_date],0),6),"")</f>
        <v>0.83333333333333337</v>
      </c>
      <c r="W37" s="50" t="str">
        <f>IFERROR(INDEX(ListeCours[],MATCH(tables!$A$41&amp;"."&amp;tables!C36&amp;"."&amp;Année,ListeCours[clé_date],0),2),"")</f>
        <v>M8.2</v>
      </c>
      <c r="X37" s="156" t="str">
        <f>IFERROR(INDEX(ListeCours[],MATCH(tables!$A$41&amp;"."&amp;tables!C36&amp;"."&amp;Année,ListeCours[clé_date],0),16),"")</f>
        <v>LEROU</v>
      </c>
      <c r="Y37" s="158">
        <f>IFERROR(INDEX(ListeCours[],MATCH(tables!$A$41&amp;"."&amp;tables!C36&amp;"."&amp;Année,ListeCours[clé_date],0),9),"")</f>
        <v>0</v>
      </c>
      <c r="Z37" s="156"/>
      <c r="AA37" s="156"/>
      <c r="AB37" s="39"/>
      <c r="AC37" s="45">
        <f>IFERROR(INDEX(ListeCours[],MATCH(tables!$A$42&amp;"."&amp;tables!C36&amp;"."&amp;Année,ListeCours[clé_date],0),3),"")</f>
        <v>45142</v>
      </c>
      <c r="AD37" s="49">
        <f>IFERROR(INDEX(ListeCours[],MATCH(tables!$A$42&amp;"."&amp;tables!C36&amp;"."&amp;Année,ListeCours[clé_date],0),5),"")</f>
        <v>0.70833333333333337</v>
      </c>
      <c r="AE37" s="49">
        <f>IFERROR(INDEX(ListeCours[],MATCH(tables!$A$42&amp;"."&amp;tables!C36&amp;"."&amp;Année,ListeCours[clé_date],0),6),"")</f>
        <v>0.83333333333333337</v>
      </c>
      <c r="AF37" s="50" t="str">
        <f>IFERROR(INDEX(ListeCours[],MATCH(tables!$A$42&amp;"."&amp;tables!C36&amp;"."&amp;Année,ListeCours[clé_date],0),2),"")</f>
        <v>M4.2</v>
      </c>
      <c r="AG37" s="156" t="str">
        <f>IFERROR(INDEX(ListeCours[],MATCH(tables!$A$42&amp;"."&amp;tables!C36&amp;"."&amp;Année,ListeCours[clé_date],0),16),"")</f>
        <v>LABOR</v>
      </c>
      <c r="AH37" s="158">
        <f>IFERROR(INDEX(ListeCours[],MATCH(tables!$A$42&amp;"."&amp;tables!C36&amp;"."&amp;Année,ListeCours[clé_date],0),9),"")</f>
        <v>0</v>
      </c>
      <c r="AI37" s="156"/>
      <c r="AJ37" s="156"/>
      <c r="AL37" s="45">
        <f>IFERROR(INDEX(ListeCours[],MATCH(tables!$A$45&amp;"."&amp;tables!C36&amp;"."&amp;Année,ListeCours[clé_date],0),3),"")</f>
        <v>45239</v>
      </c>
      <c r="AM37" s="49">
        <f>IFERROR(INDEX(ListeCours[],MATCH(tables!$A$45&amp;"."&amp;tables!C36&amp;"."&amp;Année,ListeCours[clé_date],0),5),"")</f>
        <v>0.70833333333333337</v>
      </c>
      <c r="AN37" s="49">
        <f>IFERROR(INDEX(ListeCours[],MATCH(tables!$A$45&amp;"."&amp;tables!C36&amp;"."&amp;Année,ListeCours[clé_date],0),6),"")</f>
        <v>0.83333333333333337</v>
      </c>
      <c r="AO37" s="50" t="str">
        <f>IFERROR(INDEX(ListeCours[],MATCH(tables!$A$45&amp;"."&amp;tables!C36&amp;"."&amp;Année,ListeCours[clé_date],0),2),"")</f>
        <v>M12.1</v>
      </c>
      <c r="AP37" s="156" t="str">
        <f>IFERROR(INDEX(ListeCours[],MATCH(tables!$A$45&amp;"."&amp;tables!C36&amp;"."&amp;Année,ListeCours[clé_date],0),16),"")</f>
        <v>COURL</v>
      </c>
      <c r="AQ37" s="158">
        <f>IFERROR(INDEX(ListeCours[],MATCH(tables!$A$45&amp;"."&amp;tables!C36&amp;"."&amp;Année,ListeCours[clé_date],0),9),"")</f>
        <v>0</v>
      </c>
      <c r="AR37" s="156"/>
      <c r="AS37" s="156"/>
      <c r="AT37" s="39"/>
      <c r="AU37" s="45">
        <f>IFERROR(INDEX(ListeCours[],MATCH(tables!$A$46&amp;"."&amp;tables!C36&amp;"."&amp;Année,ListeCours[clé_date],0),3),"")</f>
        <v>45265</v>
      </c>
      <c r="AV37" s="49">
        <f>IFERROR(INDEX(ListeCours[],MATCH(tables!$A$46&amp;"."&amp;tables!C36&amp;"."&amp;Année,ListeCours[clé_date],0),5),"")</f>
        <v>0</v>
      </c>
      <c r="AW37" s="49">
        <f>IFERROR(INDEX(ListeCours[],MATCH(tables!$A$46&amp;"."&amp;tables!C36&amp;"."&amp;Année,ListeCours[clé_date],0),6),"")</f>
        <v>0</v>
      </c>
      <c r="AX37" s="50" t="str">
        <f>IFERROR(INDEX(ListeCours[],MATCH(tables!$A$46&amp;"."&amp;tables!C36&amp;"."&amp;Année,ListeCours[clé_date],0),2),"")</f>
        <v>EV-s2</v>
      </c>
      <c r="AY37" s="156" t="str">
        <f>IFERROR(INDEX(ListeCours[],MATCH(tables!$A$46&amp;"."&amp;tables!C36&amp;"."&amp;Année,ListeCours[clé_date],0),16),"")</f>
        <v/>
      </c>
      <c r="AZ37" s="158" t="str">
        <f>IFERROR(INDEX(ListeCours[],MATCH(tables!$A$46&amp;"."&amp;tables!C36&amp;"."&amp;Année,ListeCours[clé_date],0),9),"")</f>
        <v>évaluations session 2</v>
      </c>
      <c r="BA37" s="156"/>
      <c r="BB37" s="156"/>
    </row>
    <row r="38" spans="2:54" ht="15" customHeight="1" x14ac:dyDescent="0.25">
      <c r="B38" s="45">
        <f>IFERROR(INDEX(ListeCours[],MATCH(tables!$A$37&amp;"."&amp;tables!C37&amp;"."&amp;Année,ListeCours[clé_date],0),3),"")</f>
        <v>44989</v>
      </c>
      <c r="C38" s="49">
        <f>IFERROR(INDEX(ListeCours[],MATCH(tables!$A$37&amp;"."&amp;tables!C37&amp;"."&amp;Année,ListeCours[clé_date],0),5),"")</f>
        <v>0.33333333333333331</v>
      </c>
      <c r="D38" s="49">
        <f>IFERROR(INDEX(ListeCours[],MATCH(tables!$A$37&amp;"."&amp;tables!C37&amp;"."&amp;Année,ListeCours[clé_date],0),6),"")</f>
        <v>0.5</v>
      </c>
      <c r="E38" s="50" t="str">
        <f>IFERROR(INDEX(ListeCours[],MATCH(tables!$A$37&amp;"."&amp;tables!C37&amp;"."&amp;Année,ListeCours[clé_date],0),2),"")</f>
        <v>M1.2</v>
      </c>
      <c r="F38" s="156" t="str">
        <f>IFERROR(INDEX(ListeCours[],MATCH(tables!$A$37&amp;"."&amp;tables!C37&amp;"."&amp;Année,ListeCours[clé_date],0),16),"")</f>
        <v>THIAW</v>
      </c>
      <c r="G38" s="158">
        <f>IFERROR(INDEX(ListeCours[],MATCH(tables!$A$37&amp;"."&amp;tables!C37&amp;"."&amp;Année,ListeCours[clé_date],0),9),"")</f>
        <v>0</v>
      </c>
      <c r="H38" s="156"/>
      <c r="I38" s="156"/>
      <c r="J38" s="39"/>
      <c r="K38" s="45">
        <f>IFERROR(INDEX(ListeCours[],MATCH(tables!$A$38&amp;"."&amp;tables!C37&amp;"."&amp;Année,ListeCours[clé_date],0),3),"")</f>
        <v>45019</v>
      </c>
      <c r="L38" s="49">
        <f>IFERROR(INDEX(ListeCours[],MATCH(tables!$A$38&amp;"."&amp;tables!C37&amp;"."&amp;Année,ListeCours[clé_date],0),5),"")</f>
        <v>0.33333333333333331</v>
      </c>
      <c r="M38" s="49">
        <f>IFERROR(INDEX(ListeCours[],MATCH(tables!$A$38&amp;"."&amp;tables!C37&amp;"."&amp;Année,ListeCours[clé_date],0),6),"")</f>
        <v>0.5</v>
      </c>
      <c r="N38" s="50" t="str">
        <f>IFERROR(INDEX(ListeCours[],MATCH(tables!$A$38&amp;"."&amp;tables!C37&amp;"."&amp;Année,ListeCours[clé_date],0),2),"")</f>
        <v>M3.3</v>
      </c>
      <c r="O38" s="156" t="str">
        <f>IFERROR(INDEX(ListeCours[],MATCH(tables!$A$38&amp;"."&amp;tables!C37&amp;"."&amp;Année,ListeCours[clé_date],0),16),"")</f>
        <v>COURL</v>
      </c>
      <c r="P38" s="158" t="str">
        <f>IFERROR(INDEX(ListeCours[],MATCH(tables!$A$38&amp;"."&amp;tables!C37&amp;"."&amp;Année,ListeCours[clé_date],0),9),"")</f>
        <v>cours reporté du 18/03</v>
      </c>
      <c r="Q38" s="156"/>
      <c r="R38" s="156"/>
      <c r="T38" s="45">
        <f>IFERROR(INDEX(ListeCours[],MATCH(tables!$A$41&amp;"."&amp;tables!C37&amp;"."&amp;Année,ListeCours[clé_date],0),3),"")</f>
        <v>45114</v>
      </c>
      <c r="U38" s="49">
        <f>IFERROR(INDEX(ListeCours[],MATCH(tables!$A$41&amp;"."&amp;tables!C37&amp;"."&amp;Année,ListeCours[clé_date],0),5),"")</f>
        <v>0.66666666666666663</v>
      </c>
      <c r="V38" s="49">
        <f>IFERROR(INDEX(ListeCours[],MATCH(tables!$A$41&amp;"."&amp;tables!C37&amp;"."&amp;Année,ListeCours[clé_date],0),6),"")</f>
        <v>0.83333333333333337</v>
      </c>
      <c r="W38" s="50" t="str">
        <f>IFERROR(INDEX(ListeCours[],MATCH(tables!$A$41&amp;"."&amp;tables!C37&amp;"."&amp;Année,ListeCours[clé_date],0),2),"")</f>
        <v>M7.4</v>
      </c>
      <c r="X38" s="156" t="str">
        <f>IFERROR(INDEX(ListeCours[],MATCH(tables!$A$41&amp;"."&amp;tables!C37&amp;"."&amp;Année,ListeCours[clé_date],0),16),"")</f>
        <v>ETHEV</v>
      </c>
      <c r="Y38" s="158">
        <f>IFERROR(INDEX(ListeCours[],MATCH(tables!$A$41&amp;"."&amp;tables!C37&amp;"."&amp;Année,ListeCours[clé_date],0),9),"")</f>
        <v>0</v>
      </c>
      <c r="Z38" s="156"/>
      <c r="AA38" s="156"/>
      <c r="AB38" s="39"/>
      <c r="AC38" s="45">
        <f>IFERROR(INDEX(ListeCours[],MATCH(tables!$A$42&amp;"."&amp;tables!C37&amp;"."&amp;Année,ListeCours[clé_date],0),3),"")</f>
        <v>45143</v>
      </c>
      <c r="AD38" s="49">
        <f>IFERROR(INDEX(ListeCours[],MATCH(tables!$A$42&amp;"."&amp;tables!C37&amp;"."&amp;Année,ListeCours[clé_date],0),5),"")</f>
        <v>0.33333333333333331</v>
      </c>
      <c r="AE38" s="49">
        <f>IFERROR(INDEX(ListeCours[],MATCH(tables!$A$42&amp;"."&amp;tables!C37&amp;"."&amp;Année,ListeCours[clé_date],0),6),"")</f>
        <v>0.5</v>
      </c>
      <c r="AF38" s="50" t="str">
        <f>IFERROR(INDEX(ListeCours[],MATCH(tables!$A$42&amp;"."&amp;tables!C37&amp;"."&amp;Année,ListeCours[clé_date],0),2),"")</f>
        <v>M4.1</v>
      </c>
      <c r="AG38" s="156" t="str">
        <f>IFERROR(INDEX(ListeCours[],MATCH(tables!$A$42&amp;"."&amp;tables!C37&amp;"."&amp;Année,ListeCours[clé_date],0),16),"")</f>
        <v>LABOR</v>
      </c>
      <c r="AH38" s="158">
        <f>IFERROR(INDEX(ListeCours[],MATCH(tables!$A$42&amp;"."&amp;tables!C37&amp;"."&amp;Année,ListeCours[clé_date],0),9),"")</f>
        <v>0</v>
      </c>
      <c r="AI38" s="156"/>
      <c r="AJ38" s="156"/>
      <c r="AL38" s="45">
        <f>IFERROR(INDEX(ListeCours[],MATCH(tables!$A$45&amp;"."&amp;tables!C37&amp;"."&amp;Année,ListeCours[clé_date],0),3),"")</f>
        <v>45240</v>
      </c>
      <c r="AM38" s="49">
        <f>IFERROR(INDEX(ListeCours[],MATCH(tables!$A$45&amp;"."&amp;tables!C37&amp;"."&amp;Année,ListeCours[clé_date],0),5),"")</f>
        <v>0.70833333333333337</v>
      </c>
      <c r="AN38" s="49">
        <f>IFERROR(INDEX(ListeCours[],MATCH(tables!$A$45&amp;"."&amp;tables!C37&amp;"."&amp;Année,ListeCours[clé_date],0),6),"")</f>
        <v>0.83333333333333337</v>
      </c>
      <c r="AO38" s="50" t="str">
        <f>IFERROR(INDEX(ListeCours[],MATCH(tables!$A$45&amp;"."&amp;tables!C37&amp;"."&amp;Année,ListeCours[clé_date],0),2),"")</f>
        <v>M12.1</v>
      </c>
      <c r="AP38" s="156" t="str">
        <f>IFERROR(INDEX(ListeCours[],MATCH(tables!$A$45&amp;"."&amp;tables!C37&amp;"."&amp;Année,ListeCours[clé_date],0),16),"")</f>
        <v>COURL</v>
      </c>
      <c r="AQ38" s="158">
        <f>IFERROR(INDEX(ListeCours[],MATCH(tables!$A$45&amp;"."&amp;tables!C37&amp;"."&amp;Année,ListeCours[clé_date],0),9),"")</f>
        <v>0</v>
      </c>
      <c r="AR38" s="156"/>
      <c r="AS38" s="156"/>
      <c r="AT38" s="39"/>
      <c r="AU38" s="45">
        <f>IFERROR(INDEX(ListeCours[],MATCH(tables!$A$46&amp;"."&amp;tables!C37&amp;"."&amp;Année,ListeCours[clé_date],0),3),"")</f>
        <v>45274</v>
      </c>
      <c r="AV38" s="49">
        <f>IFERROR(INDEX(ListeCours[],MATCH(tables!$A$46&amp;"."&amp;tables!C37&amp;"."&amp;Année,ListeCours[clé_date],0),5),"")</f>
        <v>0.33333333333333331</v>
      </c>
      <c r="AW38" s="49">
        <f>IFERROR(INDEX(ListeCours[],MATCH(tables!$A$46&amp;"."&amp;tables!C37&amp;"."&amp;Année,ListeCours[clé_date],0),6),"")</f>
        <v>0.35416666666666669</v>
      </c>
      <c r="AX38" s="50" t="str">
        <f>IFERROR(INDEX(ListeCours[],MATCH(tables!$A$46&amp;"."&amp;tables!C37&amp;"."&amp;Année,ListeCours[clé_date],0),2),"")</f>
        <v>BILAN</v>
      </c>
      <c r="AY38" s="156" t="str">
        <f>IFERROR(INDEX(ListeCours[],MATCH(tables!$A$46&amp;"."&amp;tables!C37&amp;"."&amp;Année,ListeCours[clé_date],0),16),"")</f>
        <v/>
      </c>
      <c r="AZ38" s="158" t="str">
        <f>IFERROR(INDEX(ListeCours[],MATCH(tables!$A$46&amp;"."&amp;tables!C37&amp;"."&amp;Année,ListeCours[clé_date],0),9),"")</f>
        <v>bilan de session</v>
      </c>
      <c r="BA38" s="156"/>
      <c r="BB38" s="156"/>
    </row>
    <row r="39" spans="2:54" ht="15" customHeight="1" x14ac:dyDescent="0.25">
      <c r="B39" s="45">
        <f>IFERROR(INDEX(ListeCours[],MATCH(tables!$A$37&amp;"."&amp;tables!C38&amp;"."&amp;Année,ListeCours[clé_date],0),3),"")</f>
        <v>44994</v>
      </c>
      <c r="C39" s="49">
        <f>IFERROR(INDEX(ListeCours[],MATCH(tables!$A$37&amp;"."&amp;tables!C38&amp;"."&amp;Année,ListeCours[clé_date],0),5),"")</f>
        <v>0.70833333333333337</v>
      </c>
      <c r="D39" s="49">
        <f>IFERROR(INDEX(ListeCours[],MATCH(tables!$A$37&amp;"."&amp;tables!C38&amp;"."&amp;Année,ListeCours[clé_date],0),6),"")</f>
        <v>0.83333333333333337</v>
      </c>
      <c r="E39" s="50" t="str">
        <f>IFERROR(INDEX(ListeCours[],MATCH(tables!$A$37&amp;"."&amp;tables!C38&amp;"."&amp;Année,ListeCours[clé_date],0),2),"")</f>
        <v>M3.2</v>
      </c>
      <c r="F39" s="156" t="str">
        <f>IFERROR(INDEX(ListeCours[],MATCH(tables!$A$37&amp;"."&amp;tables!C38&amp;"."&amp;Année,ListeCours[clé_date],0),16),"")</f>
        <v>COURL</v>
      </c>
      <c r="G39" s="158">
        <f>IFERROR(INDEX(ListeCours[],MATCH(tables!$A$37&amp;"."&amp;tables!C38&amp;"."&amp;Année,ListeCours[clé_date],0),9),"")</f>
        <v>0</v>
      </c>
      <c r="H39" s="156"/>
      <c r="I39" s="156"/>
      <c r="J39" s="39"/>
      <c r="K39" s="45">
        <f>IFERROR(INDEX(ListeCours[],MATCH(tables!$A$38&amp;"."&amp;tables!C38&amp;"."&amp;Année,ListeCours[clé_date],0),3),"")</f>
        <v>45022</v>
      </c>
      <c r="L39" s="49">
        <f>IFERROR(INDEX(ListeCours[],MATCH(tables!$A$38&amp;"."&amp;tables!C38&amp;"."&amp;Année,ListeCours[clé_date],0),5),"")</f>
        <v>0.70833333333333337</v>
      </c>
      <c r="M39" s="49">
        <f>IFERROR(INDEX(ListeCours[],MATCH(tables!$A$38&amp;"."&amp;tables!C38&amp;"."&amp;Année,ListeCours[clé_date],0),6),"")</f>
        <v>0.83333333333333337</v>
      </c>
      <c r="N39" s="50" t="str">
        <f>IFERROR(INDEX(ListeCours[],MATCH(tables!$A$38&amp;"."&amp;tables!C38&amp;"."&amp;Année,ListeCours[clé_date],0),2),"")</f>
        <v>M5.2</v>
      </c>
      <c r="O39" s="156" t="str">
        <f>IFERROR(INDEX(ListeCours[],MATCH(tables!$A$38&amp;"."&amp;tables!C38&amp;"."&amp;Année,ListeCours[clé_date],0),16),"")</f>
        <v>QUILL</v>
      </c>
      <c r="P39" s="158">
        <f>IFERROR(INDEX(ListeCours[],MATCH(tables!$A$38&amp;"."&amp;tables!C38&amp;"."&amp;Année,ListeCours[clé_date],0),9),"")</f>
        <v>0</v>
      </c>
      <c r="Q39" s="156"/>
      <c r="R39" s="156"/>
      <c r="T39" s="45">
        <f>IFERROR(INDEX(ListeCours[],MATCH(tables!$A$41&amp;"."&amp;tables!C38&amp;"."&amp;Année,ListeCours[clé_date],0),3),"")</f>
        <v>45115</v>
      </c>
      <c r="U39" s="49">
        <f>IFERROR(INDEX(ListeCours[],MATCH(tables!$A$41&amp;"."&amp;tables!C38&amp;"."&amp;Année,ListeCours[clé_date],0),5),"")</f>
        <v>0.33333333333333331</v>
      </c>
      <c r="V39" s="49">
        <f>IFERROR(INDEX(ListeCours[],MATCH(tables!$A$41&amp;"."&amp;tables!C38&amp;"."&amp;Année,ListeCours[clé_date],0),6),"")</f>
        <v>0.5</v>
      </c>
      <c r="W39" s="50" t="str">
        <f>IFERROR(INDEX(ListeCours[],MATCH(tables!$A$41&amp;"."&amp;tables!C38&amp;"."&amp;Année,ListeCours[clé_date],0),2),"")</f>
        <v>M7.4</v>
      </c>
      <c r="X39" s="156" t="str">
        <f>IFERROR(INDEX(ListeCours[],MATCH(tables!$A$41&amp;"."&amp;tables!C38&amp;"."&amp;Année,ListeCours[clé_date],0),16),"")</f>
        <v>ETHEV</v>
      </c>
      <c r="Y39" s="158">
        <f>IFERROR(INDEX(ListeCours[],MATCH(tables!$A$41&amp;"."&amp;tables!C38&amp;"."&amp;Année,ListeCours[clé_date],0),9),"")</f>
        <v>0</v>
      </c>
      <c r="Z39" s="156"/>
      <c r="AA39" s="156"/>
      <c r="AB39" s="39"/>
      <c r="AC39" s="45">
        <f>IFERROR(INDEX(ListeCours[],MATCH(tables!$A$42&amp;"."&amp;tables!C38&amp;"."&amp;Année,ListeCours[clé_date],0),3),"")</f>
        <v>45148</v>
      </c>
      <c r="AD39" s="49">
        <f>IFERROR(INDEX(ListeCours[],MATCH(tables!$A$42&amp;"."&amp;tables!C38&amp;"."&amp;Année,ListeCours[clé_date],0),5),"")</f>
        <v>0.70833333333333337</v>
      </c>
      <c r="AE39" s="49">
        <f>IFERROR(INDEX(ListeCours[],MATCH(tables!$A$42&amp;"."&amp;tables!C38&amp;"."&amp;Année,ListeCours[clé_date],0),6),"")</f>
        <v>0.83333333333333337</v>
      </c>
      <c r="AF39" s="50" t="str">
        <f>IFERROR(INDEX(ListeCours[],MATCH(tables!$A$42&amp;"."&amp;tables!C38&amp;"."&amp;Année,ListeCours[clé_date],0),2),"")</f>
        <v>M4.2</v>
      </c>
      <c r="AG39" s="156" t="str">
        <f>IFERROR(INDEX(ListeCours[],MATCH(tables!$A$42&amp;"."&amp;tables!C38&amp;"."&amp;Année,ListeCours[clé_date],0),16),"")</f>
        <v>LABOR</v>
      </c>
      <c r="AH39" s="158">
        <f>IFERROR(INDEX(ListeCours[],MATCH(tables!$A$42&amp;"."&amp;tables!C38&amp;"."&amp;Année,ListeCours[clé_date],0),9),"")</f>
        <v>0</v>
      </c>
      <c r="AI39" s="156"/>
      <c r="AJ39" s="156"/>
      <c r="AL39" s="45">
        <f>IFERROR(INDEX(ListeCours[],MATCH(tables!$A$45&amp;"."&amp;tables!C38&amp;"."&amp;Année,ListeCours[clé_date],0),3),"")</f>
        <v>45246</v>
      </c>
      <c r="AM39" s="49">
        <f>IFERROR(INDEX(ListeCours[],MATCH(tables!$A$45&amp;"."&amp;tables!C38&amp;"."&amp;Année,ListeCours[clé_date],0),5),"")</f>
        <v>0.70833333333333337</v>
      </c>
      <c r="AN39" s="49">
        <f>IFERROR(INDEX(ListeCours[],MATCH(tables!$A$45&amp;"."&amp;tables!C38&amp;"."&amp;Année,ListeCours[clé_date],0),6),"")</f>
        <v>0.83333333333333337</v>
      </c>
      <c r="AO39" s="50" t="str">
        <f>IFERROR(INDEX(ListeCours[],MATCH(tables!$A$45&amp;"."&amp;tables!C38&amp;"."&amp;Année,ListeCours[clé_date],0),2),"")</f>
        <v>M12.1</v>
      </c>
      <c r="AP39" s="156" t="str">
        <f>IFERROR(INDEX(ListeCours[],MATCH(tables!$A$45&amp;"."&amp;tables!C38&amp;"."&amp;Année,ListeCours[clé_date],0),16),"")</f>
        <v>COURL</v>
      </c>
      <c r="AQ39" s="158">
        <f>IFERROR(INDEX(ListeCours[],MATCH(tables!$A$45&amp;"."&amp;tables!C38&amp;"."&amp;Année,ListeCours[clé_date],0),9),"")</f>
        <v>0</v>
      </c>
      <c r="AR39" s="156"/>
      <c r="AS39" s="156"/>
      <c r="AT39" s="39"/>
      <c r="AU39" s="45">
        <f>IFERROR(INDEX(ListeCours[],MATCH(tables!$A$46&amp;"."&amp;tables!C38&amp;"."&amp;Année,ListeCours[clé_date],0),3),"")</f>
        <v>45274</v>
      </c>
      <c r="AV39" s="49">
        <f>IFERROR(INDEX(ListeCours[],MATCH(tables!$A$46&amp;"."&amp;tables!C38&amp;"."&amp;Année,ListeCours[clé_date],0),5),"")</f>
        <v>0.33333333333333331</v>
      </c>
      <c r="AW39" s="49">
        <f>IFERROR(INDEX(ListeCours[],MATCH(tables!$A$46&amp;"."&amp;tables!C38&amp;"."&amp;Année,ListeCours[clé_date],0),6),"")</f>
        <v>0.375</v>
      </c>
      <c r="AX39" s="50" t="str">
        <f>IFERROR(INDEX(ListeCours[],MATCH(tables!$A$46&amp;"."&amp;tables!C38&amp;"."&amp;Année,ListeCours[clé_date],0),2),"")</f>
        <v>EV5-M</v>
      </c>
      <c r="AY39" s="156" t="str">
        <f>IFERROR(INDEX(ListeCours[],MATCH(tables!$A$46&amp;"."&amp;tables!C38&amp;"."&amp;Année,ListeCours[clé_date],0),16),"")</f>
        <v/>
      </c>
      <c r="AZ39" s="158" t="str">
        <f>IFERROR(INDEX(ListeCours[],MATCH(tables!$A$46&amp;"."&amp;tables!C38&amp;"."&amp;Année,ListeCours[clé_date],0),9),"")</f>
        <v>soutenances mémoire</v>
      </c>
      <c r="BA39" s="156"/>
      <c r="BB39" s="156"/>
    </row>
    <row r="40" spans="2:54" ht="15" customHeight="1" x14ac:dyDescent="0.25">
      <c r="B40" s="45">
        <f>IFERROR(INDEX(ListeCours[],MATCH(tables!$A$37&amp;"."&amp;tables!C39&amp;"."&amp;Année,ListeCours[clé_date],0),3),"")</f>
        <v>44995</v>
      </c>
      <c r="C40" s="49">
        <f>IFERROR(INDEX(ListeCours[],MATCH(tables!$A$37&amp;"."&amp;tables!C39&amp;"."&amp;Année,ListeCours[clé_date],0),5),"")</f>
        <v>0.70833333333333337</v>
      </c>
      <c r="D40" s="49">
        <f>IFERROR(INDEX(ListeCours[],MATCH(tables!$A$37&amp;"."&amp;tables!C39&amp;"."&amp;Année,ListeCours[clé_date],0),6),"")</f>
        <v>0.83333333333333337</v>
      </c>
      <c r="E40" s="50" t="str">
        <f>IFERROR(INDEX(ListeCours[],MATCH(tables!$A$37&amp;"."&amp;tables!C39&amp;"."&amp;Année,ListeCours[clé_date],0),2),"")</f>
        <v>M3.2</v>
      </c>
      <c r="F40" s="156" t="str">
        <f>IFERROR(INDEX(ListeCours[],MATCH(tables!$A$37&amp;"."&amp;tables!C39&amp;"."&amp;Année,ListeCours[clé_date],0),16),"")</f>
        <v>COURL</v>
      </c>
      <c r="G40" s="158">
        <f>IFERROR(INDEX(ListeCours[],MATCH(tables!$A$37&amp;"."&amp;tables!C39&amp;"."&amp;Année,ListeCours[clé_date],0),9),"")</f>
        <v>0</v>
      </c>
      <c r="H40" s="156"/>
      <c r="I40" s="156"/>
      <c r="J40" s="39"/>
      <c r="K40" s="45">
        <f>IFERROR(INDEX(ListeCours[],MATCH(tables!$A$38&amp;"."&amp;tables!C39&amp;"."&amp;Année,ListeCours[clé_date],0),3),"")</f>
        <v>45023</v>
      </c>
      <c r="L40" s="49">
        <f>IFERROR(INDEX(ListeCours[],MATCH(tables!$A$38&amp;"."&amp;tables!C39&amp;"."&amp;Année,ListeCours[clé_date],0),5),"")</f>
        <v>0.70833333333333337</v>
      </c>
      <c r="M40" s="49">
        <f>IFERROR(INDEX(ListeCours[],MATCH(tables!$A$38&amp;"."&amp;tables!C39&amp;"."&amp;Année,ListeCours[clé_date],0),6),"")</f>
        <v>0.83333333333333337</v>
      </c>
      <c r="N40" s="50" t="str">
        <f>IFERROR(INDEX(ListeCours[],MATCH(tables!$A$38&amp;"."&amp;tables!C39&amp;"."&amp;Année,ListeCours[clé_date],0),2),"")</f>
        <v>M5.2</v>
      </c>
      <c r="O40" s="156" t="str">
        <f>IFERROR(INDEX(ListeCours[],MATCH(tables!$A$38&amp;"."&amp;tables!C39&amp;"."&amp;Année,ListeCours[clé_date],0),16),"")</f>
        <v>QUILL</v>
      </c>
      <c r="P40" s="158">
        <f>IFERROR(INDEX(ListeCours[],MATCH(tables!$A$38&amp;"."&amp;tables!C39&amp;"."&amp;Année,ListeCours[clé_date],0),9),"")</f>
        <v>0</v>
      </c>
      <c r="Q40" s="156"/>
      <c r="R40" s="156"/>
      <c r="T40" s="45">
        <f>IFERROR(INDEX(ListeCours[],MATCH(tables!$A$41&amp;"."&amp;tables!C39&amp;"."&amp;Année,ListeCours[clé_date],0),3),"")</f>
        <v>45120</v>
      </c>
      <c r="U40" s="49">
        <f>IFERROR(INDEX(ListeCours[],MATCH(tables!$A$41&amp;"."&amp;tables!C39&amp;"."&amp;Année,ListeCours[clé_date],0),5),"")</f>
        <v>0.70833333333333337</v>
      </c>
      <c r="V40" s="49">
        <f>IFERROR(INDEX(ListeCours[],MATCH(tables!$A$41&amp;"."&amp;tables!C39&amp;"."&amp;Année,ListeCours[clé_date],0),6),"")</f>
        <v>0.83333333333333337</v>
      </c>
      <c r="W40" s="50" t="str">
        <f>IFERROR(INDEX(ListeCours[],MATCH(tables!$A$41&amp;"."&amp;tables!C39&amp;"."&amp;Année,ListeCours[clé_date],0),2),"")</f>
        <v>M8.3</v>
      </c>
      <c r="X40" s="156" t="str">
        <f>IFERROR(INDEX(ListeCours[],MATCH(tables!$A$41&amp;"."&amp;tables!C39&amp;"."&amp;Année,ListeCours[clé_date],0),16),"")</f>
        <v>LEROU</v>
      </c>
      <c r="Y40" s="158">
        <f>IFERROR(INDEX(ListeCours[],MATCH(tables!$A$41&amp;"."&amp;tables!C39&amp;"."&amp;Année,ListeCours[clé_date],0),9),"")</f>
        <v>0</v>
      </c>
      <c r="Z40" s="156"/>
      <c r="AA40" s="156"/>
      <c r="AB40" s="39"/>
      <c r="AC40" s="45">
        <f>IFERROR(INDEX(ListeCours[],MATCH(tables!$A$42&amp;"."&amp;tables!C39&amp;"."&amp;Année,ListeCours[clé_date],0),3),"")</f>
        <v>45149</v>
      </c>
      <c r="AD40" s="49">
        <f>IFERROR(INDEX(ListeCours[],MATCH(tables!$A$42&amp;"."&amp;tables!C39&amp;"."&amp;Année,ListeCours[clé_date],0),5),"")</f>
        <v>0.70833333333333337</v>
      </c>
      <c r="AE40" s="49">
        <f>IFERROR(INDEX(ListeCours[],MATCH(tables!$A$42&amp;"."&amp;tables!C39&amp;"."&amp;Année,ListeCours[clé_date],0),6),"")</f>
        <v>0.83333333333333337</v>
      </c>
      <c r="AF40" s="50" t="str">
        <f>IFERROR(INDEX(ListeCours[],MATCH(tables!$A$42&amp;"."&amp;tables!C39&amp;"."&amp;Année,ListeCours[clé_date],0),2),"")</f>
        <v>M4.2</v>
      </c>
      <c r="AG40" s="156" t="str">
        <f>IFERROR(INDEX(ListeCours[],MATCH(tables!$A$42&amp;"."&amp;tables!C39&amp;"."&amp;Année,ListeCours[clé_date],0),16),"")</f>
        <v>LABOR</v>
      </c>
      <c r="AH40" s="158">
        <f>IFERROR(INDEX(ListeCours[],MATCH(tables!$A$42&amp;"."&amp;tables!C39&amp;"."&amp;Année,ListeCours[clé_date],0),9),"")</f>
        <v>0</v>
      </c>
      <c r="AI40" s="156"/>
      <c r="AJ40" s="156"/>
      <c r="AL40" s="45">
        <f>IFERROR(INDEX(ListeCours[],MATCH(tables!$A$45&amp;"."&amp;tables!C39&amp;"."&amp;Année,ListeCours[clé_date],0),3),"")</f>
        <v>45247</v>
      </c>
      <c r="AM40" s="49">
        <f>IFERROR(INDEX(ListeCours[],MATCH(tables!$A$45&amp;"."&amp;tables!C39&amp;"."&amp;Année,ListeCours[clé_date],0),5),"")</f>
        <v>0.70833333333333337</v>
      </c>
      <c r="AN40" s="49">
        <f>IFERROR(INDEX(ListeCours[],MATCH(tables!$A$45&amp;"."&amp;tables!C39&amp;"."&amp;Année,ListeCours[clé_date],0),6),"")</f>
        <v>0.83333333333333337</v>
      </c>
      <c r="AO40" s="50" t="str">
        <f>IFERROR(INDEX(ListeCours[],MATCH(tables!$A$45&amp;"."&amp;tables!C39&amp;"."&amp;Année,ListeCours[clé_date],0),2),"")</f>
        <v>M12.1</v>
      </c>
      <c r="AP40" s="156" t="str">
        <f>IFERROR(INDEX(ListeCours[],MATCH(tables!$A$45&amp;"."&amp;tables!C39&amp;"."&amp;Année,ListeCours[clé_date],0),16),"")</f>
        <v>COURL</v>
      </c>
      <c r="AQ40" s="158">
        <f>IFERROR(INDEX(ListeCours[],MATCH(tables!$A$45&amp;"."&amp;tables!C39&amp;"."&amp;Année,ListeCours[clé_date],0),9),"")</f>
        <v>0</v>
      </c>
      <c r="AR40" s="156"/>
      <c r="AS40" s="156"/>
      <c r="AT40" s="39"/>
      <c r="AU40" s="45">
        <f>IFERROR(INDEX(ListeCours[],MATCH(tables!$A$46&amp;"."&amp;tables!C39&amp;"."&amp;Année,ListeCours[clé_date],0),3),"")</f>
        <v>45275</v>
      </c>
      <c r="AV40" s="49">
        <f>IFERROR(INDEX(ListeCours[],MATCH(tables!$A$46&amp;"."&amp;tables!C39&amp;"."&amp;Année,ListeCours[clé_date],0),5),"")</f>
        <v>0</v>
      </c>
      <c r="AW40" s="49">
        <f>IFERROR(INDEX(ListeCours[],MATCH(tables!$A$46&amp;"."&amp;tables!C39&amp;"."&amp;Année,ListeCours[clé_date],0),6),"")</f>
        <v>0</v>
      </c>
      <c r="AX40" s="50" t="str">
        <f>IFERROR(INDEX(ListeCours[],MATCH(tables!$A$46&amp;"."&amp;tables!C39&amp;"."&amp;Année,ListeCours[clé_date],0),2),"")</f>
        <v>EV5-M</v>
      </c>
      <c r="AY40" s="156" t="str">
        <f>IFERROR(INDEX(ListeCours[],MATCH(tables!$A$46&amp;"."&amp;tables!C39&amp;"."&amp;Année,ListeCours[clé_date],0),16),"")</f>
        <v/>
      </c>
      <c r="AZ40" s="158" t="str">
        <f>IFERROR(INDEX(ListeCours[],MATCH(tables!$A$46&amp;"."&amp;tables!C39&amp;"."&amp;Année,ListeCours[clé_date],0),9),"")</f>
        <v>soutenances mémoire</v>
      </c>
      <c r="BA40" s="156"/>
      <c r="BB40" s="156"/>
    </row>
    <row r="41" spans="2:54" ht="15" customHeight="1" x14ac:dyDescent="0.25">
      <c r="B41" s="45">
        <f>IFERROR(INDEX(ListeCours[],MATCH(tables!$A$37&amp;"."&amp;tables!C40&amp;"."&amp;Année,ListeCours[clé_date],0),3),"")</f>
        <v>45008</v>
      </c>
      <c r="C41" s="49">
        <f>IFERROR(INDEX(ListeCours[],MATCH(tables!$A$37&amp;"."&amp;tables!C40&amp;"."&amp;Année,ListeCours[clé_date],0),5),"")</f>
        <v>0.70833333333333337</v>
      </c>
      <c r="D41" s="49">
        <f>IFERROR(INDEX(ListeCours[],MATCH(tables!$A$37&amp;"."&amp;tables!C40&amp;"."&amp;Année,ListeCours[clé_date],0),6),"")</f>
        <v>0.83333333333333337</v>
      </c>
      <c r="E41" s="50" t="str">
        <f>IFERROR(INDEX(ListeCours[],MATCH(tables!$A$37&amp;"."&amp;tables!C40&amp;"."&amp;Année,ListeCours[clé_date],0),2),"")</f>
        <v>M5.1</v>
      </c>
      <c r="F41" s="156" t="str">
        <f>IFERROR(INDEX(ListeCours[],MATCH(tables!$A$37&amp;"."&amp;tables!C40&amp;"."&amp;Année,ListeCours[clé_date],0),16),"")</f>
        <v>QUILL</v>
      </c>
      <c r="G41" s="158">
        <f>IFERROR(INDEX(ListeCours[],MATCH(tables!$A$37&amp;"."&amp;tables!C40&amp;"."&amp;Année,ListeCours[clé_date],0),9),"")</f>
        <v>0</v>
      </c>
      <c r="H41" s="156"/>
      <c r="I41" s="156"/>
      <c r="J41" s="39"/>
      <c r="K41" s="45">
        <f>IFERROR(INDEX(ListeCours[],MATCH(tables!$A$38&amp;"."&amp;tables!C40&amp;"."&amp;Année,ListeCours[clé_date],0),3),"")</f>
        <v>45024</v>
      </c>
      <c r="L41" s="49">
        <f>IFERROR(INDEX(ListeCours[],MATCH(tables!$A$38&amp;"."&amp;tables!C40&amp;"."&amp;Année,ListeCours[clé_date],0),5),"")</f>
        <v>0.33333333333333331</v>
      </c>
      <c r="M41" s="49">
        <f>IFERROR(INDEX(ListeCours[],MATCH(tables!$A$38&amp;"."&amp;tables!C40&amp;"."&amp;Année,ListeCours[clé_date],0),6),"")</f>
        <v>0.39583333333333331</v>
      </c>
      <c r="N41" s="50" t="str">
        <f>IFERROR(INDEX(ListeCours[],MATCH(tables!$A$38&amp;"."&amp;tables!C40&amp;"."&amp;Année,ListeCours[clé_date],0),2),"")</f>
        <v>EV1-s1</v>
      </c>
      <c r="O41" s="156" t="str">
        <f>IFERROR(INDEX(ListeCours[],MATCH(tables!$A$38&amp;"."&amp;tables!C40&amp;"."&amp;Année,ListeCours[clé_date],0),16),"")</f>
        <v/>
      </c>
      <c r="P41" s="158" t="str">
        <f>IFERROR(INDEX(ListeCours[],MATCH(tables!$A$38&amp;"."&amp;tables!C40&amp;"."&amp;Année,ListeCours[clé_date],0),9),"")</f>
        <v>Evaluation BC1 sess. 1</v>
      </c>
      <c r="Q41" s="156"/>
      <c r="R41" s="156"/>
      <c r="T41" s="45">
        <f>IFERROR(INDEX(ListeCours[],MATCH(tables!$A$41&amp;"."&amp;tables!C40&amp;"."&amp;Année,ListeCours[clé_date],0),3),"")</f>
        <v>45122</v>
      </c>
      <c r="U41" s="49">
        <f>IFERROR(INDEX(ListeCours[],MATCH(tables!$A$41&amp;"."&amp;tables!C40&amp;"."&amp;Année,ListeCours[clé_date],0),5),"")</f>
        <v>0.33333333333333331</v>
      </c>
      <c r="V41" s="49">
        <f>IFERROR(INDEX(ListeCours[],MATCH(tables!$A$41&amp;"."&amp;tables!C40&amp;"."&amp;Année,ListeCours[clé_date],0),6),"")</f>
        <v>0.5</v>
      </c>
      <c r="W41" s="50" t="str">
        <f>IFERROR(INDEX(ListeCours[],MATCH(tables!$A$41&amp;"."&amp;tables!C40&amp;"."&amp;Année,ListeCours[clé_date],0),2),"")</f>
        <v>M8.2</v>
      </c>
      <c r="X41" s="156" t="str">
        <f>IFERROR(INDEX(ListeCours[],MATCH(tables!$A$41&amp;"."&amp;tables!C40&amp;"."&amp;Année,ListeCours[clé_date],0),16),"")</f>
        <v>LEROU</v>
      </c>
      <c r="Y41" s="158">
        <f>IFERROR(INDEX(ListeCours[],MATCH(tables!$A$41&amp;"."&amp;tables!C40&amp;"."&amp;Année,ListeCours[clé_date],0),9),"")</f>
        <v>0</v>
      </c>
      <c r="Z41" s="156"/>
      <c r="AA41" s="156"/>
      <c r="AB41" s="39"/>
      <c r="AC41" s="45">
        <f>IFERROR(INDEX(ListeCours[],MATCH(tables!$A$42&amp;"."&amp;tables!C40&amp;"."&amp;Année,ListeCours[clé_date],0),3),"")</f>
        <v>45150</v>
      </c>
      <c r="AD41" s="49">
        <f>IFERROR(INDEX(ListeCours[],MATCH(tables!$A$42&amp;"."&amp;tables!C40&amp;"."&amp;Année,ListeCours[clé_date],0),5),"")</f>
        <v>0.33333333333333331</v>
      </c>
      <c r="AE41" s="49">
        <f>IFERROR(INDEX(ListeCours[],MATCH(tables!$A$42&amp;"."&amp;tables!C40&amp;"."&amp;Année,ListeCours[clé_date],0),6),"")</f>
        <v>0.5</v>
      </c>
      <c r="AF41" s="50" t="str">
        <f>IFERROR(INDEX(ListeCours[],MATCH(tables!$A$42&amp;"."&amp;tables!C40&amp;"."&amp;Année,ListeCours[clé_date],0),2),"")</f>
        <v>M4.2</v>
      </c>
      <c r="AG41" s="156" t="str">
        <f>IFERROR(INDEX(ListeCours[],MATCH(tables!$A$42&amp;"."&amp;tables!C40&amp;"."&amp;Année,ListeCours[clé_date],0),16),"")</f>
        <v>LABOR</v>
      </c>
      <c r="AH41" s="158">
        <f>IFERROR(INDEX(ListeCours[],MATCH(tables!$A$42&amp;"."&amp;tables!C40&amp;"."&amp;Année,ListeCours[clé_date],0),9),"")</f>
        <v>0</v>
      </c>
      <c r="AI41" s="156"/>
      <c r="AJ41" s="156"/>
      <c r="AL41" s="45">
        <f>IFERROR(INDEX(ListeCours[],MATCH(tables!$A$45&amp;"."&amp;tables!C40&amp;"."&amp;Année,ListeCours[clé_date],0),3),"")</f>
        <v>45248</v>
      </c>
      <c r="AM41" s="49">
        <f>IFERROR(INDEX(ListeCours[],MATCH(tables!$A$45&amp;"."&amp;tables!C40&amp;"."&amp;Année,ListeCours[clé_date],0),5),"")</f>
        <v>0.33333333333333331</v>
      </c>
      <c r="AN41" s="49">
        <f>IFERROR(INDEX(ListeCours[],MATCH(tables!$A$45&amp;"."&amp;tables!C40&amp;"."&amp;Année,ListeCours[clé_date],0),6),"")</f>
        <v>0.5</v>
      </c>
      <c r="AO41" s="50" t="str">
        <f>IFERROR(INDEX(ListeCours[],MATCH(tables!$A$45&amp;"."&amp;tables!C40&amp;"."&amp;Année,ListeCours[clé_date],0),2),"")</f>
        <v>M12.2</v>
      </c>
      <c r="AP41" s="156" t="str">
        <f>IFERROR(INDEX(ListeCours[],MATCH(tables!$A$45&amp;"."&amp;tables!C40&amp;"."&amp;Année,ListeCours[clé_date],0),16),"")</f>
        <v>THIAW</v>
      </c>
      <c r="AQ41" s="158">
        <f>IFERROR(INDEX(ListeCours[],MATCH(tables!$A$45&amp;"."&amp;tables!C40&amp;"."&amp;Année,ListeCours[clé_date],0),9),"")</f>
        <v>0</v>
      </c>
      <c r="AR41" s="156"/>
      <c r="AS41" s="156"/>
      <c r="AT41" s="39"/>
      <c r="AU41" s="45" t="str">
        <f>IFERROR(INDEX(ListeCours[],MATCH(tables!$A$46&amp;"."&amp;tables!C40&amp;"."&amp;Année,ListeCours[clé_date],0),3),"")</f>
        <v/>
      </c>
      <c r="AV41" s="49" t="str">
        <f>IFERROR(INDEX(ListeCours[],MATCH(tables!$A$46&amp;"."&amp;tables!C40&amp;"."&amp;Année,ListeCours[clé_date],0),5),"")</f>
        <v/>
      </c>
      <c r="AW41" s="49" t="str">
        <f>IFERROR(INDEX(ListeCours[],MATCH(tables!$A$46&amp;"."&amp;tables!C40&amp;"."&amp;Année,ListeCours[clé_date],0),6),"")</f>
        <v/>
      </c>
      <c r="AX41" s="50" t="str">
        <f>IFERROR(INDEX(ListeCours[],MATCH(tables!$A$46&amp;"."&amp;tables!C40&amp;"."&amp;Année,ListeCours[clé_date],0),2),"")</f>
        <v/>
      </c>
      <c r="AY41" s="156" t="str">
        <f>IFERROR(INDEX(ListeCours[],MATCH(tables!$A$46&amp;"."&amp;tables!C40&amp;"."&amp;Année,ListeCours[clé_date],0),16),"")</f>
        <v/>
      </c>
      <c r="AZ41" s="158" t="str">
        <f>IFERROR(INDEX(ListeCours[],MATCH(tables!$A$46&amp;"."&amp;tables!C40&amp;"."&amp;Année,ListeCours[clé_date],0),9),"")</f>
        <v/>
      </c>
      <c r="BA41" s="156"/>
      <c r="BB41" s="156"/>
    </row>
    <row r="42" spans="2:54" ht="15" customHeight="1" x14ac:dyDescent="0.25">
      <c r="B42" s="45">
        <f>IFERROR(INDEX(ListeCours[],MATCH(tables!$A$37&amp;"."&amp;tables!C41&amp;"."&amp;Année,ListeCours[clé_date],0),3),"")</f>
        <v>45009</v>
      </c>
      <c r="C42" s="49">
        <f>IFERROR(INDEX(ListeCours[],MATCH(tables!$A$37&amp;"."&amp;tables!C41&amp;"."&amp;Année,ListeCours[clé_date],0),5),"")</f>
        <v>0.70833333333333337</v>
      </c>
      <c r="D42" s="49">
        <f>IFERROR(INDEX(ListeCours[],MATCH(tables!$A$37&amp;"."&amp;tables!C41&amp;"."&amp;Année,ListeCours[clé_date],0),6),"")</f>
        <v>0.83333333333333337</v>
      </c>
      <c r="E42" s="50" t="str">
        <f>IFERROR(INDEX(ListeCours[],MATCH(tables!$A$37&amp;"."&amp;tables!C41&amp;"."&amp;Année,ListeCours[clé_date],0),2),"")</f>
        <v>M5.1</v>
      </c>
      <c r="F42" s="156" t="str">
        <f>IFERROR(INDEX(ListeCours[],MATCH(tables!$A$37&amp;"."&amp;tables!C41&amp;"."&amp;Année,ListeCours[clé_date],0),16),"")</f>
        <v>QUILL</v>
      </c>
      <c r="G42" s="158">
        <f>IFERROR(INDEX(ListeCours[],MATCH(tables!$A$37&amp;"."&amp;tables!C41&amp;"."&amp;Année,ListeCours[clé_date],0),9),"")</f>
        <v>0</v>
      </c>
      <c r="H42" s="156"/>
      <c r="I42" s="156"/>
      <c r="J42" s="39"/>
      <c r="K42" s="45">
        <f>IFERROR(INDEX(ListeCours[],MATCH(tables!$A$38&amp;"."&amp;tables!C41&amp;"."&amp;Année,ListeCours[clé_date],0),3),"")</f>
        <v>45029</v>
      </c>
      <c r="L42" s="49">
        <f>IFERROR(INDEX(ListeCours[],MATCH(tables!$A$38&amp;"."&amp;tables!C41&amp;"."&amp;Année,ListeCours[clé_date],0),5),"")</f>
        <v>0.70833333333333337</v>
      </c>
      <c r="M42" s="49">
        <f>IFERROR(INDEX(ListeCours[],MATCH(tables!$A$38&amp;"."&amp;tables!C41&amp;"."&amp;Année,ListeCours[clé_date],0),6),"")</f>
        <v>0.83333333333333337</v>
      </c>
      <c r="N42" s="50" t="str">
        <f>IFERROR(INDEX(ListeCours[],MATCH(tables!$A$38&amp;"."&amp;tables!C41&amp;"."&amp;Année,ListeCours[clé_date],0),2),"")</f>
        <v>M5.2</v>
      </c>
      <c r="O42" s="156" t="str">
        <f>IFERROR(INDEX(ListeCours[],MATCH(tables!$A$38&amp;"."&amp;tables!C41&amp;"."&amp;Année,ListeCours[clé_date],0),16),"")</f>
        <v>QUILL</v>
      </c>
      <c r="P42" s="158">
        <f>IFERROR(INDEX(ListeCours[],MATCH(tables!$A$38&amp;"."&amp;tables!C41&amp;"."&amp;Année,ListeCours[clé_date],0),9),"")</f>
        <v>0</v>
      </c>
      <c r="Q42" s="156"/>
      <c r="R42" s="156"/>
      <c r="T42" s="45">
        <f>IFERROR(INDEX(ListeCours[],MATCH(tables!$A$41&amp;"."&amp;tables!C41&amp;"."&amp;Année,ListeCours[clé_date],0),3),"")</f>
        <v>45127</v>
      </c>
      <c r="U42" s="49">
        <f>IFERROR(INDEX(ListeCours[],MATCH(tables!$A$41&amp;"."&amp;tables!C41&amp;"."&amp;Année,ListeCours[clé_date],0),5),"")</f>
        <v>0.70833333333333337</v>
      </c>
      <c r="V42" s="49">
        <f>IFERROR(INDEX(ListeCours[],MATCH(tables!$A$41&amp;"."&amp;tables!C41&amp;"."&amp;Année,ListeCours[clé_date],0),6),"")</f>
        <v>0.83333333333333337</v>
      </c>
      <c r="W42" s="50" t="str">
        <f>IFERROR(INDEX(ListeCours[],MATCH(tables!$A$41&amp;"."&amp;tables!C41&amp;"."&amp;Année,ListeCours[clé_date],0),2),"")</f>
        <v>M8.4</v>
      </c>
      <c r="X42" s="156" t="str">
        <f>IFERROR(INDEX(ListeCours[],MATCH(tables!$A$41&amp;"."&amp;tables!C41&amp;"."&amp;Année,ListeCours[clé_date],0),16),"")</f>
        <v>LEROU</v>
      </c>
      <c r="Y42" s="158">
        <f>IFERROR(INDEX(ListeCours[],MATCH(tables!$A$41&amp;"."&amp;tables!C41&amp;"."&amp;Année,ListeCours[clé_date],0),9),"")</f>
        <v>0</v>
      </c>
      <c r="Z42" s="156"/>
      <c r="AA42" s="156"/>
      <c r="AB42" s="39"/>
      <c r="AC42" s="45">
        <f>IFERROR(INDEX(ListeCours[],MATCH(tables!$A$42&amp;"."&amp;tables!C41&amp;"."&amp;Année,ListeCours[clé_date],0),3),"")</f>
        <v>45155</v>
      </c>
      <c r="AD42" s="49">
        <f>IFERROR(INDEX(ListeCours[],MATCH(tables!$A$42&amp;"."&amp;tables!C41&amp;"."&amp;Année,ListeCours[clé_date],0),5),"")</f>
        <v>0.70833333333333337</v>
      </c>
      <c r="AE42" s="49">
        <f>IFERROR(INDEX(ListeCours[],MATCH(tables!$A$42&amp;"."&amp;tables!C41&amp;"."&amp;Année,ListeCours[clé_date],0),6),"")</f>
        <v>0.83333333333333337</v>
      </c>
      <c r="AF42" s="50" t="str">
        <f>IFERROR(INDEX(ListeCours[],MATCH(tables!$A$42&amp;"."&amp;tables!C41&amp;"."&amp;Année,ListeCours[clé_date],0),2),"")</f>
        <v>M4.2</v>
      </c>
      <c r="AG42" s="156" t="str">
        <f>IFERROR(INDEX(ListeCours[],MATCH(tables!$A$42&amp;"."&amp;tables!C41&amp;"."&amp;Année,ListeCours[clé_date],0),16),"")</f>
        <v>LABOR</v>
      </c>
      <c r="AH42" s="158">
        <f>IFERROR(INDEX(ListeCours[],MATCH(tables!$A$42&amp;"."&amp;tables!C41&amp;"."&amp;Année,ListeCours[clé_date],0),9),"")</f>
        <v>0</v>
      </c>
      <c r="AI42" s="156"/>
      <c r="AJ42" s="156"/>
      <c r="AL42" s="45">
        <f>IFERROR(INDEX(ListeCours[],MATCH(tables!$A$45&amp;"."&amp;tables!C41&amp;"."&amp;Année,ListeCours[clé_date],0),3),"")</f>
        <v>45253</v>
      </c>
      <c r="AM42" s="49">
        <f>IFERROR(INDEX(ListeCours[],MATCH(tables!$A$45&amp;"."&amp;tables!C41&amp;"."&amp;Année,ListeCours[clé_date],0),5),"")</f>
        <v>0.70833333333333337</v>
      </c>
      <c r="AN42" s="49">
        <f>IFERROR(INDEX(ListeCours[],MATCH(tables!$A$45&amp;"."&amp;tables!C41&amp;"."&amp;Année,ListeCours[clé_date],0),6),"")</f>
        <v>0.83333333333333337</v>
      </c>
      <c r="AO42" s="50" t="str">
        <f>IFERROR(INDEX(ListeCours[],MATCH(tables!$A$45&amp;"."&amp;tables!C41&amp;"."&amp;Année,ListeCours[clé_date],0),2),"")</f>
        <v>M12.2</v>
      </c>
      <c r="AP42" s="156" t="str">
        <f>IFERROR(INDEX(ListeCours[],MATCH(tables!$A$45&amp;"."&amp;tables!C41&amp;"."&amp;Année,ListeCours[clé_date],0),16),"")</f>
        <v>THIAW</v>
      </c>
      <c r="AQ42" s="158">
        <f>IFERROR(INDEX(ListeCours[],MATCH(tables!$A$45&amp;"."&amp;tables!C41&amp;"."&amp;Année,ListeCours[clé_date],0),9),"")</f>
        <v>0</v>
      </c>
      <c r="AR42" s="156"/>
      <c r="AS42" s="156"/>
      <c r="AT42" s="39"/>
      <c r="AU42" s="45" t="str">
        <f>IFERROR(INDEX(ListeCours[],MATCH(tables!$A$46&amp;"."&amp;tables!C41&amp;"."&amp;Année,ListeCours[clé_date],0),3),"")</f>
        <v/>
      </c>
      <c r="AV42" s="49" t="str">
        <f>IFERROR(INDEX(ListeCours[],MATCH(tables!$A$46&amp;"."&amp;tables!C41&amp;"."&amp;Année,ListeCours[clé_date],0),5),"")</f>
        <v/>
      </c>
      <c r="AW42" s="49" t="str">
        <f>IFERROR(INDEX(ListeCours[],MATCH(tables!$A$46&amp;"."&amp;tables!C41&amp;"."&amp;Année,ListeCours[clé_date],0),6),"")</f>
        <v/>
      </c>
      <c r="AX42" s="50" t="str">
        <f>IFERROR(INDEX(ListeCours[],MATCH(tables!$A$46&amp;"."&amp;tables!C41&amp;"."&amp;Année,ListeCours[clé_date],0),2),"")</f>
        <v/>
      </c>
      <c r="AY42" s="156" t="str">
        <f>IFERROR(INDEX(ListeCours[],MATCH(tables!$A$46&amp;"."&amp;tables!C41&amp;"."&amp;Année,ListeCours[clé_date],0),16),"")</f>
        <v/>
      </c>
      <c r="AZ42" s="158" t="str">
        <f>IFERROR(INDEX(ListeCours[],MATCH(tables!$A$46&amp;"."&amp;tables!C41&amp;"."&amp;Année,ListeCours[clé_date],0),9),"")</f>
        <v/>
      </c>
      <c r="BA42" s="156"/>
      <c r="BB42" s="156"/>
    </row>
    <row r="43" spans="2:54" ht="15" customHeight="1" x14ac:dyDescent="0.25">
      <c r="B43" s="45">
        <f>IFERROR(INDEX(ListeCours[],MATCH(tables!$A$37&amp;"."&amp;tables!C42&amp;"."&amp;Année,ListeCours[clé_date],0),3),"")</f>
        <v>45010</v>
      </c>
      <c r="C43" s="49">
        <f>IFERROR(INDEX(ListeCours[],MATCH(tables!$A$37&amp;"."&amp;tables!C42&amp;"."&amp;Année,ListeCours[clé_date],0),5),"")</f>
        <v>0.33333333333333331</v>
      </c>
      <c r="D43" s="49">
        <f>IFERROR(INDEX(ListeCours[],MATCH(tables!$A$37&amp;"."&amp;tables!C42&amp;"."&amp;Année,ListeCours[clé_date],0),6),"")</f>
        <v>0.5</v>
      </c>
      <c r="E43" s="50" t="str">
        <f>IFERROR(INDEX(ListeCours[],MATCH(tables!$A$37&amp;"."&amp;tables!C42&amp;"."&amp;Année,ListeCours[clé_date],0),2),"")</f>
        <v>M13</v>
      </c>
      <c r="F43" s="156" t="str">
        <f>IFERROR(INDEX(ListeCours[],MATCH(tables!$A$37&amp;"."&amp;tables!C42&amp;"."&amp;Année,ListeCours[clé_date],0),16),"")</f>
        <v>NAYLS</v>
      </c>
      <c r="G43" s="158">
        <f>IFERROR(INDEX(ListeCours[],MATCH(tables!$A$37&amp;"."&amp;tables!C42&amp;"."&amp;Année,ListeCours[clé_date],0),9),"")</f>
        <v>0</v>
      </c>
      <c r="H43" s="156"/>
      <c r="I43" s="156"/>
      <c r="J43" s="39"/>
      <c r="K43" s="45">
        <f>IFERROR(INDEX(ListeCours[],MATCH(tables!$A$38&amp;"."&amp;tables!C42&amp;"."&amp;Année,ListeCours[clé_date],0),3),"")</f>
        <v>45030</v>
      </c>
      <c r="L43" s="49">
        <f>IFERROR(INDEX(ListeCours[],MATCH(tables!$A$38&amp;"."&amp;tables!C42&amp;"."&amp;Année,ListeCours[clé_date],0),5),"")</f>
        <v>0.70833333333333337</v>
      </c>
      <c r="M43" s="49">
        <f>IFERROR(INDEX(ListeCours[],MATCH(tables!$A$38&amp;"."&amp;tables!C42&amp;"."&amp;Année,ListeCours[clé_date],0),6),"")</f>
        <v>0.79166666666666663</v>
      </c>
      <c r="N43" s="50" t="str">
        <f>IFERROR(INDEX(ListeCours[],MATCH(tables!$A$38&amp;"."&amp;tables!C42&amp;"."&amp;Année,ListeCours[clé_date],0),2),"")</f>
        <v>M5.2</v>
      </c>
      <c r="O43" s="156" t="str">
        <f>IFERROR(INDEX(ListeCours[],MATCH(tables!$A$38&amp;"."&amp;tables!C42&amp;"."&amp;Année,ListeCours[clé_date],0),16),"")</f>
        <v>QUILL</v>
      </c>
      <c r="P43" s="158">
        <f>IFERROR(INDEX(ListeCours[],MATCH(tables!$A$38&amp;"."&amp;tables!C42&amp;"."&amp;Année,ListeCours[clé_date],0),9),"")</f>
        <v>0</v>
      </c>
      <c r="Q43" s="156"/>
      <c r="R43" s="156"/>
      <c r="T43" s="45">
        <f>IFERROR(INDEX(ListeCours[],MATCH(tables!$A$41&amp;"."&amp;tables!C42&amp;"."&amp;Année,ListeCours[clé_date],0),3),"")</f>
        <v>45128</v>
      </c>
      <c r="U43" s="49">
        <f>IFERROR(INDEX(ListeCours[],MATCH(tables!$A$41&amp;"."&amp;tables!C42&amp;"."&amp;Année,ListeCours[clé_date],0),5),"")</f>
        <v>0.70833333333333337</v>
      </c>
      <c r="V43" s="49">
        <f>IFERROR(INDEX(ListeCours[],MATCH(tables!$A$41&amp;"."&amp;tables!C42&amp;"."&amp;Année,ListeCours[clé_date],0),6),"")</f>
        <v>0.83333333333333337</v>
      </c>
      <c r="W43" s="50" t="str">
        <f>IFERROR(INDEX(ListeCours[],MATCH(tables!$A$41&amp;"."&amp;tables!C42&amp;"."&amp;Année,ListeCours[clé_date],0),2),"")</f>
        <v>M8.3</v>
      </c>
      <c r="X43" s="156" t="str">
        <f>IFERROR(INDEX(ListeCours[],MATCH(tables!$A$41&amp;"."&amp;tables!C42&amp;"."&amp;Année,ListeCours[clé_date],0),16),"")</f>
        <v>LEROU</v>
      </c>
      <c r="Y43" s="158">
        <f>IFERROR(INDEX(ListeCours[],MATCH(tables!$A$41&amp;"."&amp;tables!C42&amp;"."&amp;Année,ListeCours[clé_date],0),9),"")</f>
        <v>0</v>
      </c>
      <c r="Z43" s="156"/>
      <c r="AA43" s="156"/>
      <c r="AB43" s="39"/>
      <c r="AC43" s="45">
        <f>IFERROR(INDEX(ListeCours[],MATCH(tables!$A$42&amp;"."&amp;tables!C42&amp;"."&amp;Année,ListeCours[clé_date],0),3),"")</f>
        <v>45156</v>
      </c>
      <c r="AD43" s="49">
        <f>IFERROR(INDEX(ListeCours[],MATCH(tables!$A$42&amp;"."&amp;tables!C42&amp;"."&amp;Année,ListeCours[clé_date],0),5),"")</f>
        <v>0.70833333333333337</v>
      </c>
      <c r="AE43" s="49">
        <f>IFERROR(INDEX(ListeCours[],MATCH(tables!$A$42&amp;"."&amp;tables!C42&amp;"."&amp;Année,ListeCours[clé_date],0),6),"")</f>
        <v>0.75</v>
      </c>
      <c r="AF43" s="50" t="str">
        <f>IFERROR(INDEX(ListeCours[],MATCH(tables!$A$42&amp;"."&amp;tables!C42&amp;"."&amp;Année,ListeCours[clé_date],0),2),"")</f>
        <v>M4.2</v>
      </c>
      <c r="AG43" s="156" t="str">
        <f>IFERROR(INDEX(ListeCours[],MATCH(tables!$A$42&amp;"."&amp;tables!C42&amp;"."&amp;Année,ListeCours[clé_date],0),16),"")</f>
        <v>LABOR</v>
      </c>
      <c r="AH43" s="158">
        <f>IFERROR(INDEX(ListeCours[],MATCH(tables!$A$42&amp;"."&amp;tables!C42&amp;"."&amp;Année,ListeCours[clé_date],0),9),"")</f>
        <v>0</v>
      </c>
      <c r="AI43" s="156"/>
      <c r="AJ43" s="156"/>
      <c r="AL43" s="45">
        <f>IFERROR(INDEX(ListeCours[],MATCH(tables!$A$45&amp;"."&amp;tables!C43&amp;"."&amp;Année,ListeCours[clé_date],0),3),"")</f>
        <v>45255</v>
      </c>
      <c r="AM43" s="49">
        <f>IFERROR(INDEX(ListeCours[],MATCH(tables!$A$45&amp;"."&amp;tables!C43&amp;"."&amp;Année,ListeCours[clé_date],0),5),"")</f>
        <v>0.33333333333333331</v>
      </c>
      <c r="AN43" s="49">
        <f>IFERROR(INDEX(ListeCours[],MATCH(tables!$A$45&amp;"."&amp;tables!C43&amp;"."&amp;Année,ListeCours[clé_date],0),6),"")</f>
        <v>0.5</v>
      </c>
      <c r="AO43" s="50" t="str">
        <f>IFERROR(INDEX(ListeCours[],MATCH(tables!$A$45&amp;"."&amp;tables!C43&amp;"."&amp;Année,ListeCours[clé_date],0),2),"")</f>
        <v>M13</v>
      </c>
      <c r="AP43" s="156" t="str">
        <f>IFERROR(INDEX(ListeCours[],MATCH(tables!$A$45&amp;"."&amp;tables!C43&amp;"."&amp;Année,ListeCours[clé_date],0),16),"")</f>
        <v>LEB/NA</v>
      </c>
      <c r="AQ43" s="158">
        <f>IFERROR(INDEX(ListeCours[],MATCH(tables!$A$45&amp;"."&amp;tables!C43&amp;"."&amp;Année,ListeCours[clé_date],0),9),"")</f>
        <v>0</v>
      </c>
      <c r="AR43" s="156"/>
      <c r="AS43" s="156"/>
      <c r="AT43" s="39"/>
      <c r="AU43" s="45" t="str">
        <f>IFERROR(INDEX(ListeCours[],MATCH(tables!$A$46&amp;"."&amp;tables!C42&amp;"."&amp;Année,ListeCours[clé_date],0),3),"")</f>
        <v/>
      </c>
      <c r="AV43" s="49" t="str">
        <f>IFERROR(INDEX(ListeCours[],MATCH(tables!$A$46&amp;"."&amp;tables!C42&amp;"."&amp;Année,ListeCours[clé_date],0),5),"")</f>
        <v/>
      </c>
      <c r="AW43" s="49" t="str">
        <f>IFERROR(INDEX(ListeCours[],MATCH(tables!$A$46&amp;"."&amp;tables!C42&amp;"."&amp;Année,ListeCours[clé_date],0),6),"")</f>
        <v/>
      </c>
      <c r="AX43" s="50" t="str">
        <f>IFERROR(INDEX(ListeCours[],MATCH(tables!$A$46&amp;"."&amp;tables!C42&amp;"."&amp;Année,ListeCours[clé_date],0),2),"")</f>
        <v/>
      </c>
      <c r="AY43" s="156" t="str">
        <f>IFERROR(INDEX(ListeCours[],MATCH(tables!$A$46&amp;"."&amp;tables!C42&amp;"."&amp;Année,ListeCours[clé_date],0),16),"")</f>
        <v/>
      </c>
      <c r="AZ43" s="158" t="str">
        <f>IFERROR(INDEX(ListeCours[],MATCH(tables!$A$46&amp;"."&amp;tables!C42&amp;"."&amp;Année,ListeCours[clé_date],0),9),"")</f>
        <v/>
      </c>
      <c r="BA43" s="156"/>
      <c r="BB43" s="156"/>
    </row>
    <row r="44" spans="2:54" ht="15" customHeight="1" x14ac:dyDescent="0.25">
      <c r="B44" s="45">
        <f>IFERROR(INDEX(ListeCours[],MATCH(tables!$A$37&amp;"."&amp;tables!C43&amp;"."&amp;Année,ListeCours[clé_date],0),3),"")</f>
        <v>45012</v>
      </c>
      <c r="C44" s="49">
        <f>IFERROR(INDEX(ListeCours[],MATCH(tables!$A$37&amp;"."&amp;tables!C43&amp;"."&amp;Année,ListeCours[clé_date],0),5),"")</f>
        <v>0.70833333333333337</v>
      </c>
      <c r="D44" s="49">
        <f>IFERROR(INDEX(ListeCours[],MATCH(tables!$A$37&amp;"."&amp;tables!C43&amp;"."&amp;Année,ListeCours[clé_date],0),6),"")</f>
        <v>0.83333333333333337</v>
      </c>
      <c r="E44" s="50" t="str">
        <f>IFERROR(INDEX(ListeCours[],MATCH(tables!$A$37&amp;"."&amp;tables!C43&amp;"."&amp;Année,ListeCours[clé_date],0),2),"")</f>
        <v>M3.2</v>
      </c>
      <c r="F44" s="156" t="str">
        <f>IFERROR(INDEX(ListeCours[],MATCH(tables!$A$37&amp;"."&amp;tables!C43&amp;"."&amp;Année,ListeCours[clé_date],0),16),"")</f>
        <v>COURL</v>
      </c>
      <c r="G44" s="158" t="str">
        <f>IFERROR(INDEX(ListeCours[],MATCH(tables!$A$37&amp;"."&amp;tables!C43&amp;"."&amp;Année,ListeCours[clé_date],0),9),"")</f>
        <v>cours reporté du 16/03</v>
      </c>
      <c r="H44" s="156"/>
      <c r="I44" s="156"/>
      <c r="J44" s="39"/>
      <c r="K44" s="45">
        <f>IFERROR(INDEX(ListeCours[],MATCH(tables!$A$38&amp;"."&amp;tables!C43&amp;"."&amp;Année,ListeCours[clé_date],0),3),"")</f>
        <v>45031</v>
      </c>
      <c r="L44" s="49">
        <f>IFERROR(INDEX(ListeCours[],MATCH(tables!$A$38&amp;"."&amp;tables!C43&amp;"."&amp;Année,ListeCours[clé_date],0),5),"")</f>
        <v>0.33333333333333331</v>
      </c>
      <c r="M44" s="49">
        <f>IFERROR(INDEX(ListeCours[],MATCH(tables!$A$38&amp;"."&amp;tables!C43&amp;"."&amp;Année,ListeCours[clé_date],0),6),"")</f>
        <v>0.5</v>
      </c>
      <c r="N44" s="50" t="str">
        <f>IFERROR(INDEX(ListeCours[],MATCH(tables!$A$38&amp;"."&amp;tables!C43&amp;"."&amp;Année,ListeCours[clé_date],0),2),"")</f>
        <v>M5.3</v>
      </c>
      <c r="O44" s="156" t="str">
        <f>IFERROR(INDEX(ListeCours[],MATCH(tables!$A$38&amp;"."&amp;tables!C43&amp;"."&amp;Année,ListeCours[clé_date],0),16),"")</f>
        <v>FERRA</v>
      </c>
      <c r="P44" s="158">
        <f>IFERROR(INDEX(ListeCours[],MATCH(tables!$A$38&amp;"."&amp;tables!C43&amp;"."&amp;Année,ListeCours[clé_date],0),9),"")</f>
        <v>0</v>
      </c>
      <c r="Q44" s="156"/>
      <c r="R44" s="156"/>
      <c r="T44" s="45">
        <f>IFERROR(INDEX(ListeCours[],MATCH(tables!$A$41&amp;"."&amp;tables!C43&amp;"."&amp;Année,ListeCours[clé_date],0),3),"")</f>
        <v>45129</v>
      </c>
      <c r="U44" s="49">
        <f>IFERROR(INDEX(ListeCours[],MATCH(tables!$A$41&amp;"."&amp;tables!C43&amp;"."&amp;Année,ListeCours[clé_date],0),5),"")</f>
        <v>0.33333333333333331</v>
      </c>
      <c r="V44" s="49">
        <f>IFERROR(INDEX(ListeCours[],MATCH(tables!$A$41&amp;"."&amp;tables!C43&amp;"."&amp;Année,ListeCours[clé_date],0),6),"")</f>
        <v>0.5</v>
      </c>
      <c r="W44" s="50" t="str">
        <f>IFERROR(INDEX(ListeCours[],MATCH(tables!$A$41&amp;"."&amp;tables!C43&amp;"."&amp;Année,ListeCours[clé_date],0),2),"")</f>
        <v>M8.3</v>
      </c>
      <c r="X44" s="156" t="str">
        <f>IFERROR(INDEX(ListeCours[],MATCH(tables!$A$41&amp;"."&amp;tables!C43&amp;"."&amp;Année,ListeCours[clé_date],0),16),"")</f>
        <v>LEROU</v>
      </c>
      <c r="Y44" s="158">
        <f>IFERROR(INDEX(ListeCours[],MATCH(tables!$A$41&amp;"."&amp;tables!C43&amp;"."&amp;Année,ListeCours[clé_date],0),9),"")</f>
        <v>0</v>
      </c>
      <c r="Z44" s="156"/>
      <c r="AA44" s="156"/>
      <c r="AB44" s="39"/>
      <c r="AC44" s="45">
        <f>IFERROR(INDEX(ListeCours[],MATCH(tables!$A$42&amp;"."&amp;tables!C43&amp;"."&amp;Année,ListeCours[clé_date],0),3),"")</f>
        <v>45156</v>
      </c>
      <c r="AD44" s="49">
        <f>IFERROR(INDEX(ListeCours[],MATCH(tables!$A$42&amp;"."&amp;tables!C43&amp;"."&amp;Année,ListeCours[clé_date],0),5),"")</f>
        <v>0.75</v>
      </c>
      <c r="AE44" s="49">
        <f>IFERROR(INDEX(ListeCours[],MATCH(tables!$A$42&amp;"."&amp;tables!C43&amp;"."&amp;Année,ListeCours[clé_date],0),6),"")</f>
        <v>0.83333333333333337</v>
      </c>
      <c r="AF44" s="50" t="str">
        <f>IFERROR(INDEX(ListeCours[],MATCH(tables!$A$42&amp;"."&amp;tables!C43&amp;"."&amp;Année,ListeCours[clé_date],0),2),"")</f>
        <v>M4.3</v>
      </c>
      <c r="AG44" s="156" t="str">
        <f>IFERROR(INDEX(ListeCours[],MATCH(tables!$A$42&amp;"."&amp;tables!C43&amp;"."&amp;Année,ListeCours[clé_date],0),16),"")</f>
        <v>LABOR</v>
      </c>
      <c r="AH44" s="158">
        <f>IFERROR(INDEX(ListeCours[],MATCH(tables!$A$42&amp;"."&amp;tables!C43&amp;"."&amp;Année,ListeCours[clé_date],0),9),"")</f>
        <v>0</v>
      </c>
      <c r="AI44" s="156"/>
      <c r="AJ44" s="156"/>
      <c r="AL44" s="45">
        <f>IFERROR(INDEX(ListeCours[],MATCH(tables!$A$45&amp;"."&amp;tables!C42&amp;"."&amp;Année,ListeCours[clé_date],0),3),"")</f>
        <v>45254</v>
      </c>
      <c r="AM44" s="49">
        <f>IFERROR(INDEX(ListeCours[],MATCH(tables!$A$45&amp;"."&amp;tables!C42&amp;"."&amp;Année,ListeCours[clé_date],0),5),"")</f>
        <v>0.66666666666666663</v>
      </c>
      <c r="AN44" s="49">
        <f>IFERROR(INDEX(ListeCours[],MATCH(tables!$A$45&amp;"."&amp;tables!C42&amp;"."&amp;Année,ListeCours[clé_date],0),6),"")</f>
        <v>0.72916666666666663</v>
      </c>
      <c r="AO44" s="50" t="str">
        <f>IFERROR(INDEX(ListeCours[],MATCH(tables!$A$45&amp;"."&amp;tables!C42&amp;"."&amp;Année,ListeCours[clé_date],0),2),"")</f>
        <v>EV4-s1</v>
      </c>
      <c r="AP44" s="156" t="str">
        <f>IFERROR(INDEX(ListeCours[],MATCH(tables!$A$45&amp;"."&amp;tables!C42&amp;"."&amp;Année,ListeCours[clé_date],0),16),"")</f>
        <v/>
      </c>
      <c r="AQ44" s="158" t="str">
        <f>IFERROR(INDEX(ListeCours[],MATCH(tables!$A$45&amp;"."&amp;tables!C42&amp;"."&amp;Année,ListeCours[clé_date],0),9),"")</f>
        <v>Evaluation BC4 sess. 1</v>
      </c>
      <c r="AR44" s="156"/>
      <c r="AS44" s="156"/>
      <c r="AT44" s="39"/>
      <c r="AU44" s="45" t="str">
        <f>IFERROR(INDEX(ListeCours[],MATCH(tables!$A$46&amp;"."&amp;tables!C43&amp;"."&amp;Année,ListeCours[clé_date],0),3),"")</f>
        <v/>
      </c>
      <c r="AV44" s="49" t="str">
        <f>IFERROR(INDEX(ListeCours[],MATCH(tables!$A$46&amp;"."&amp;tables!C43&amp;"."&amp;Année,ListeCours[clé_date],0),5),"")</f>
        <v/>
      </c>
      <c r="AW44" s="49" t="str">
        <f>IFERROR(INDEX(ListeCours[],MATCH(tables!$A$46&amp;"."&amp;tables!C43&amp;"."&amp;Année,ListeCours[clé_date],0),6),"")</f>
        <v/>
      </c>
      <c r="AX44" s="50" t="str">
        <f>IFERROR(INDEX(ListeCours[],MATCH(tables!$A$46&amp;"."&amp;tables!C43&amp;"."&amp;Année,ListeCours[clé_date],0),2),"")</f>
        <v/>
      </c>
      <c r="AY44" s="156" t="str">
        <f>IFERROR(INDEX(ListeCours[],MATCH(tables!$A$46&amp;"."&amp;tables!C43&amp;"."&amp;Année,ListeCours[clé_date],0),16),"")</f>
        <v/>
      </c>
      <c r="AZ44" s="158" t="str">
        <f>IFERROR(INDEX(ListeCours[],MATCH(tables!$A$46&amp;"."&amp;tables!C43&amp;"."&amp;Année,ListeCours[clé_date],0),9),"")</f>
        <v/>
      </c>
      <c r="BA44" s="156"/>
      <c r="BB44" s="156"/>
    </row>
    <row r="45" spans="2:54" x14ac:dyDescent="0.25">
      <c r="B45" s="45">
        <f>IFERROR(INDEX(ListeCours[],MATCH(tables!$A$37&amp;"."&amp;tables!C44&amp;"."&amp;Année,ListeCours[clé_date],0),3),"")</f>
        <v>45013</v>
      </c>
      <c r="C45" s="49">
        <f>IFERROR(INDEX(ListeCours[],MATCH(tables!$A$37&amp;"."&amp;tables!C44&amp;"."&amp;Année,ListeCours[clé_date],0),5),"")</f>
        <v>0.70833333333333337</v>
      </c>
      <c r="D45" s="49">
        <f>IFERROR(INDEX(ListeCours[],MATCH(tables!$A$37&amp;"."&amp;tables!C44&amp;"."&amp;Année,ListeCours[clé_date],0),6),"")</f>
        <v>0.83333333333333337</v>
      </c>
      <c r="E45" s="50" t="str">
        <f>IFERROR(INDEX(ListeCours[],MATCH(tables!$A$37&amp;"."&amp;tables!C44&amp;"."&amp;Année,ListeCours[clé_date],0),2),"")</f>
        <v>M3.2</v>
      </c>
      <c r="F45" s="156" t="str">
        <f>IFERROR(INDEX(ListeCours[],MATCH(tables!$A$37&amp;"."&amp;tables!C44&amp;"."&amp;Année,ListeCours[clé_date],0),16),"")</f>
        <v>COURL</v>
      </c>
      <c r="G45" s="158" t="str">
        <f>IFERROR(INDEX(ListeCours[],MATCH(tables!$A$37&amp;"."&amp;tables!C44&amp;"."&amp;Année,ListeCours[clé_date],0),9),"")</f>
        <v>cours reporté du 17/03</v>
      </c>
      <c r="H45" s="156"/>
      <c r="I45" s="156"/>
      <c r="J45" s="39"/>
      <c r="K45" s="45">
        <f>IFERROR(INDEX(ListeCours[],MATCH(tables!$A$38&amp;"."&amp;tables!C44&amp;"."&amp;Année,ListeCours[clé_date],0),3),"")</f>
        <v>45036</v>
      </c>
      <c r="L45" s="49">
        <f>IFERROR(INDEX(ListeCours[],MATCH(tables!$A$38&amp;"."&amp;tables!C44&amp;"."&amp;Année,ListeCours[clé_date],0),5),"")</f>
        <v>0.70833333333333337</v>
      </c>
      <c r="M45" s="49">
        <f>IFERROR(INDEX(ListeCours[],MATCH(tables!$A$38&amp;"."&amp;tables!C44&amp;"."&amp;Année,ListeCours[clé_date],0),6),"")</f>
        <v>0.83333333333333337</v>
      </c>
      <c r="N45" s="50" t="str">
        <f>IFERROR(INDEX(ListeCours[],MATCH(tables!$A$38&amp;"."&amp;tables!C44&amp;"."&amp;Année,ListeCours[clé_date],0),2),"")</f>
        <v>M5.4</v>
      </c>
      <c r="O45" s="156" t="str">
        <f>IFERROR(INDEX(ListeCours[],MATCH(tables!$A$38&amp;"."&amp;tables!C44&amp;"."&amp;Année,ListeCours[clé_date],0),16),"")</f>
        <v>FERRA</v>
      </c>
      <c r="P45" s="158">
        <f>IFERROR(INDEX(ListeCours[],MATCH(tables!$A$38&amp;"."&amp;tables!C44&amp;"."&amp;Année,ListeCours[clé_date],0),9),"")</f>
        <v>0</v>
      </c>
      <c r="Q45" s="156"/>
      <c r="R45" s="156"/>
      <c r="T45" s="45">
        <f>IFERROR(INDEX(ListeCours[],MATCH(tables!$A$41&amp;"."&amp;tables!C44&amp;"."&amp;Année,ListeCours[clé_date],0),3),"")</f>
        <v>45134</v>
      </c>
      <c r="U45" s="49">
        <f>IFERROR(INDEX(ListeCours[],MATCH(tables!$A$41&amp;"."&amp;tables!C44&amp;"."&amp;Année,ListeCours[clé_date],0),5),"")</f>
        <v>0.66666666666666663</v>
      </c>
      <c r="V45" s="49">
        <f>IFERROR(INDEX(ListeCours[],MATCH(tables!$A$41&amp;"."&amp;tables!C44&amp;"."&amp;Année,ListeCours[clé_date],0),6),"")</f>
        <v>0.83333333333333337</v>
      </c>
      <c r="W45" s="50" t="str">
        <f>IFERROR(INDEX(ListeCours[],MATCH(tables!$A$41&amp;"."&amp;tables!C44&amp;"."&amp;Année,ListeCours[clé_date],0),2),"")</f>
        <v>M8.4</v>
      </c>
      <c r="X45" s="156" t="str">
        <f>IFERROR(INDEX(ListeCours[],MATCH(tables!$A$41&amp;"."&amp;tables!C44&amp;"."&amp;Année,ListeCours[clé_date],0),16),"")</f>
        <v>LEROU</v>
      </c>
      <c r="Y45" s="158">
        <f>IFERROR(INDEX(ListeCours[],MATCH(tables!$A$41&amp;"."&amp;tables!C44&amp;"."&amp;Année,ListeCours[clé_date],0),9),"")</f>
        <v>0</v>
      </c>
      <c r="Z45" s="156"/>
      <c r="AA45" s="156"/>
      <c r="AB45" s="39"/>
      <c r="AC45" s="45">
        <f>IFERROR(INDEX(ListeCours[],MATCH(tables!$A$42&amp;"."&amp;tables!C44&amp;"."&amp;Année,ListeCours[clé_date],0),3),"")</f>
        <v>45157</v>
      </c>
      <c r="AD45" s="49">
        <f>IFERROR(INDEX(ListeCours[],MATCH(tables!$A$42&amp;"."&amp;tables!C44&amp;"."&amp;Année,ListeCours[clé_date],0),5),"")</f>
        <v>0.33333333333333331</v>
      </c>
      <c r="AE45" s="49">
        <f>IFERROR(INDEX(ListeCours[],MATCH(tables!$A$42&amp;"."&amp;tables!C44&amp;"."&amp;Année,ListeCours[clé_date],0),6),"")</f>
        <v>0.5</v>
      </c>
      <c r="AF45" s="50" t="str">
        <f>IFERROR(INDEX(ListeCours[],MATCH(tables!$A$42&amp;"."&amp;tables!C44&amp;"."&amp;Année,ListeCours[clé_date],0),2),"")</f>
        <v>M4.2</v>
      </c>
      <c r="AG45" s="156" t="str">
        <f>IFERROR(INDEX(ListeCours[],MATCH(tables!$A$42&amp;"."&amp;tables!C44&amp;"."&amp;Année,ListeCours[clé_date],0),16),"")</f>
        <v>LABOR</v>
      </c>
      <c r="AH45" s="158">
        <f>IFERROR(INDEX(ListeCours[],MATCH(tables!$A$42&amp;"."&amp;tables!C44&amp;"."&amp;Année,ListeCours[clé_date],0),9),"")</f>
        <v>0</v>
      </c>
      <c r="AI45" s="156"/>
      <c r="AJ45" s="156"/>
      <c r="AL45" s="45" t="str">
        <f>IFERROR(INDEX(ListeCours[],MATCH(tables!$A$45&amp;"."&amp;tables!C44&amp;"."&amp;Année,ListeCours[clé_date],0),3),"")</f>
        <v/>
      </c>
      <c r="AM45" s="49" t="str">
        <f>IFERROR(INDEX(ListeCours[],MATCH(tables!$A$45&amp;"."&amp;tables!C44&amp;"."&amp;Année,ListeCours[clé_date],0),5),"")</f>
        <v/>
      </c>
      <c r="AN45" s="49" t="str">
        <f>IFERROR(INDEX(ListeCours[],MATCH(tables!$A$45&amp;"."&amp;tables!C44&amp;"."&amp;Année,ListeCours[clé_date],0),6),"")</f>
        <v/>
      </c>
      <c r="AO45" s="50" t="str">
        <f>IFERROR(INDEX(ListeCours[],MATCH(tables!$A$45&amp;"."&amp;tables!C44&amp;"."&amp;Année,ListeCours[clé_date],0),2),"")</f>
        <v/>
      </c>
      <c r="AP45" s="156" t="str">
        <f>IFERROR(INDEX(ListeCours[],MATCH(tables!$A$45&amp;"."&amp;tables!C44&amp;"."&amp;Année,ListeCours[clé_date],0),16),"")</f>
        <v/>
      </c>
      <c r="AQ45" s="158" t="str">
        <f>IFERROR(INDEX(ListeCours[],MATCH(tables!$A$45&amp;"."&amp;tables!C44&amp;"."&amp;Année,ListeCours[clé_date],0),9),"")</f>
        <v/>
      </c>
      <c r="AR45" s="156"/>
      <c r="AS45" s="156"/>
      <c r="AT45" s="39"/>
      <c r="AU45" s="45" t="str">
        <f>IFERROR(INDEX(ListeCours[],MATCH(tables!$A$46&amp;"."&amp;tables!C44&amp;"."&amp;Année,ListeCours[clé_date],0),3),"")</f>
        <v/>
      </c>
      <c r="AV45" s="49" t="str">
        <f>IFERROR(INDEX(ListeCours[],MATCH(tables!$A$46&amp;"."&amp;tables!C44&amp;"."&amp;Année,ListeCours[clé_date],0),5),"")</f>
        <v/>
      </c>
      <c r="AW45" s="49" t="str">
        <f>IFERROR(INDEX(ListeCours[],MATCH(tables!$A$46&amp;"."&amp;tables!C44&amp;"."&amp;Année,ListeCours[clé_date],0),6),"")</f>
        <v/>
      </c>
      <c r="AX45" s="50" t="str">
        <f>IFERROR(INDEX(ListeCours[],MATCH(tables!$A$46&amp;"."&amp;tables!C44&amp;"."&amp;Année,ListeCours[clé_date],0),2),"")</f>
        <v/>
      </c>
      <c r="AY45" s="156" t="str">
        <f>IFERROR(INDEX(ListeCours[],MATCH(tables!$A$46&amp;"."&amp;tables!C44&amp;"."&amp;Année,ListeCours[clé_date],0),16),"")</f>
        <v/>
      </c>
      <c r="AZ45" s="158" t="str">
        <f>IFERROR(INDEX(ListeCours[],MATCH(tables!$A$46&amp;"."&amp;tables!C44&amp;"."&amp;Année,ListeCours[clé_date],0),9),"")</f>
        <v/>
      </c>
      <c r="BA45" s="156"/>
      <c r="BB45" s="156"/>
    </row>
    <row r="46" spans="2:54" ht="15" customHeight="1" x14ac:dyDescent="0.25">
      <c r="B46" s="45">
        <f>IFERROR(INDEX(ListeCours[],MATCH(tables!$A$37&amp;"."&amp;tables!C45&amp;"."&amp;Année,ListeCours[clé_date],0),3),"")</f>
        <v>45015</v>
      </c>
      <c r="C46" s="49">
        <f>IFERROR(INDEX(ListeCours[],MATCH(tables!$A$37&amp;"."&amp;tables!C45&amp;"."&amp;Année,ListeCours[clé_date],0),5),"")</f>
        <v>0.70833333333333337</v>
      </c>
      <c r="D46" s="49">
        <f>IFERROR(INDEX(ListeCours[],MATCH(tables!$A$37&amp;"."&amp;tables!C45&amp;"."&amp;Année,ListeCours[clé_date],0),6),"")</f>
        <v>0.83333333333333337</v>
      </c>
      <c r="E46" s="50" t="str">
        <f>IFERROR(INDEX(ListeCours[],MATCH(tables!$A$37&amp;"."&amp;tables!C45&amp;"."&amp;Année,ListeCours[clé_date],0),2),"")</f>
        <v>M3.2</v>
      </c>
      <c r="F46" s="156" t="str">
        <f>IFERROR(INDEX(ListeCours[],MATCH(tables!$A$37&amp;"."&amp;tables!C45&amp;"."&amp;Année,ListeCours[clé_date],0),16),"")</f>
        <v>COURL</v>
      </c>
      <c r="G46" s="158">
        <f>IFERROR(INDEX(ListeCours[],MATCH(tables!$A$37&amp;"."&amp;tables!C45&amp;"."&amp;Année,ListeCours[clé_date],0),9),"")</f>
        <v>0</v>
      </c>
      <c r="H46" s="156"/>
      <c r="I46" s="156"/>
      <c r="J46" s="39"/>
      <c r="K46" s="45">
        <f>IFERROR(INDEX(ListeCours[],MATCH(tables!$A$38&amp;"."&amp;tables!C45&amp;"."&amp;Année,ListeCours[clé_date],0),3),"")</f>
        <v>45037</v>
      </c>
      <c r="L46" s="49">
        <f>IFERROR(INDEX(ListeCours[],MATCH(tables!$A$38&amp;"."&amp;tables!C45&amp;"."&amp;Année,ListeCours[clé_date],0),5),"")</f>
        <v>0.70833333333333337</v>
      </c>
      <c r="M46" s="49">
        <f>IFERROR(INDEX(ListeCours[],MATCH(tables!$A$38&amp;"."&amp;tables!C45&amp;"."&amp;Année,ListeCours[clé_date],0),6),"")</f>
        <v>0.83333333333333337</v>
      </c>
      <c r="N46" s="50" t="str">
        <f>IFERROR(INDEX(ListeCours[],MATCH(tables!$A$38&amp;"."&amp;tables!C45&amp;"."&amp;Année,ListeCours[clé_date],0),2),"")</f>
        <v>M5.4</v>
      </c>
      <c r="O46" s="156" t="str">
        <f>IFERROR(INDEX(ListeCours[],MATCH(tables!$A$38&amp;"."&amp;tables!C45&amp;"."&amp;Année,ListeCours[clé_date],0),16),"")</f>
        <v>FERRA</v>
      </c>
      <c r="P46" s="158">
        <f>IFERROR(INDEX(ListeCours[],MATCH(tables!$A$38&amp;"."&amp;tables!C45&amp;"."&amp;Année,ListeCours[clé_date],0),9),"")</f>
        <v>0</v>
      </c>
      <c r="Q46" s="156"/>
      <c r="R46" s="156"/>
      <c r="T46" s="45">
        <f>IFERROR(INDEX(ListeCours[],MATCH(tables!$A$41&amp;"."&amp;tables!C45&amp;"."&amp;Année,ListeCours[clé_date],0),3),"")</f>
        <v>45135</v>
      </c>
      <c r="U46" s="49">
        <f>IFERROR(INDEX(ListeCours[],MATCH(tables!$A$41&amp;"."&amp;tables!C45&amp;"."&amp;Année,ListeCours[clé_date],0),5),"")</f>
        <v>0.70833333333333337</v>
      </c>
      <c r="V46" s="49">
        <f>IFERROR(INDEX(ListeCours[],MATCH(tables!$A$41&amp;"."&amp;tables!C45&amp;"."&amp;Année,ListeCours[clé_date],0),6),"")</f>
        <v>0.83333333333333337</v>
      </c>
      <c r="W46" s="50" t="str">
        <f>IFERROR(INDEX(ListeCours[],MATCH(tables!$A$41&amp;"."&amp;tables!C45&amp;"."&amp;Année,ListeCours[clé_date],0),2),"")</f>
        <v>M13</v>
      </c>
      <c r="X46" s="156" t="str">
        <f>IFERROR(INDEX(ListeCours[],MATCH(tables!$A$41&amp;"."&amp;tables!C45&amp;"."&amp;Année,ListeCours[clé_date],0),16),"")</f>
        <v>LEBOU</v>
      </c>
      <c r="Y46" s="158">
        <f>IFERROR(INDEX(ListeCours[],MATCH(tables!$A$41&amp;"."&amp;tables!C45&amp;"."&amp;Année,ListeCours[clé_date],0),9),"")</f>
        <v>0</v>
      </c>
      <c r="Z46" s="156"/>
      <c r="AA46" s="156"/>
      <c r="AB46" s="39"/>
      <c r="AC46" s="45">
        <f>IFERROR(INDEX(ListeCours[],MATCH(tables!$A$42&amp;"."&amp;tables!C45&amp;"."&amp;Année,ListeCours[clé_date],0),3),"")</f>
        <v>45162</v>
      </c>
      <c r="AD46" s="49">
        <f>IFERROR(INDEX(ListeCours[],MATCH(tables!$A$42&amp;"."&amp;tables!C45&amp;"."&amp;Année,ListeCours[clé_date],0),5),"")</f>
        <v>0.70833333333333337</v>
      </c>
      <c r="AE46" s="49">
        <f>IFERROR(INDEX(ListeCours[],MATCH(tables!$A$42&amp;"."&amp;tables!C45&amp;"."&amp;Année,ListeCours[clé_date],0),6),"")</f>
        <v>0.83333333333333337</v>
      </c>
      <c r="AF46" s="50" t="str">
        <f>IFERROR(INDEX(ListeCours[],MATCH(tables!$A$42&amp;"."&amp;tables!C45&amp;"."&amp;Année,ListeCours[clé_date],0),2),"")</f>
        <v>M4.3</v>
      </c>
      <c r="AG46" s="156" t="str">
        <f>IFERROR(INDEX(ListeCours[],MATCH(tables!$A$42&amp;"."&amp;tables!C45&amp;"."&amp;Année,ListeCours[clé_date],0),16),"")</f>
        <v>LABOR</v>
      </c>
      <c r="AH46" s="158">
        <f>IFERROR(INDEX(ListeCours[],MATCH(tables!$A$42&amp;"."&amp;tables!C45&amp;"."&amp;Année,ListeCours[clé_date],0),9),"")</f>
        <v>0</v>
      </c>
      <c r="AI46" s="156"/>
      <c r="AJ46" s="156"/>
      <c r="AL46" s="45" t="str">
        <f>IFERROR(INDEX(ListeCours[],MATCH(tables!$A$45&amp;"."&amp;tables!C45&amp;"."&amp;Année,ListeCours[clé_date],0),3),"")</f>
        <v/>
      </c>
      <c r="AM46" s="49" t="str">
        <f>IFERROR(INDEX(ListeCours[],MATCH(tables!$A$45&amp;"."&amp;tables!C45&amp;"."&amp;Année,ListeCours[clé_date],0),5),"")</f>
        <v/>
      </c>
      <c r="AN46" s="49" t="str">
        <f>IFERROR(INDEX(ListeCours[],MATCH(tables!$A$45&amp;"."&amp;tables!C45&amp;"."&amp;Année,ListeCours[clé_date],0),6),"")</f>
        <v/>
      </c>
      <c r="AO46" s="50" t="str">
        <f>IFERROR(INDEX(ListeCours[],MATCH(tables!$A$45&amp;"."&amp;tables!C45&amp;"."&amp;Année,ListeCours[clé_date],0),2),"")</f>
        <v/>
      </c>
      <c r="AP46" s="156" t="str">
        <f>IFERROR(INDEX(ListeCours[],MATCH(tables!$A$45&amp;"."&amp;tables!C45&amp;"."&amp;Année,ListeCours[clé_date],0),16),"")</f>
        <v/>
      </c>
      <c r="AQ46" s="158" t="str">
        <f>IFERROR(INDEX(ListeCours[],MATCH(tables!$A$45&amp;"."&amp;tables!C45&amp;"."&amp;Année,ListeCours[clé_date],0),9),"")</f>
        <v/>
      </c>
      <c r="AR46" s="156"/>
      <c r="AS46" s="156"/>
      <c r="AT46" s="39"/>
      <c r="AU46" s="45" t="str">
        <f>IFERROR(INDEX(ListeCours[],MATCH(tables!$A$46&amp;"."&amp;tables!C45&amp;"."&amp;Année,ListeCours[clé_date],0),3),"")</f>
        <v/>
      </c>
      <c r="AV46" s="49" t="str">
        <f>IFERROR(INDEX(ListeCours[],MATCH(tables!$A$46&amp;"."&amp;tables!C45&amp;"."&amp;Année,ListeCours[clé_date],0),5),"")</f>
        <v/>
      </c>
      <c r="AW46" s="49" t="str">
        <f>IFERROR(INDEX(ListeCours[],MATCH(tables!$A$46&amp;"."&amp;tables!C45&amp;"."&amp;Année,ListeCours[clé_date],0),6),"")</f>
        <v/>
      </c>
      <c r="AX46" s="50" t="str">
        <f>IFERROR(INDEX(ListeCours[],MATCH(tables!$A$46&amp;"."&amp;tables!C45&amp;"."&amp;Année,ListeCours[clé_date],0),2),"")</f>
        <v/>
      </c>
      <c r="AY46" s="156" t="str">
        <f>IFERROR(INDEX(ListeCours[],MATCH(tables!$A$46&amp;"."&amp;tables!C45&amp;"."&amp;Année,ListeCours[clé_date],0),16),"")</f>
        <v/>
      </c>
      <c r="AZ46" s="158" t="str">
        <f>IFERROR(INDEX(ListeCours[],MATCH(tables!$A$46&amp;"."&amp;tables!C45&amp;"."&amp;Année,ListeCours[clé_date],0),9),"")</f>
        <v/>
      </c>
      <c r="BA46" s="156"/>
      <c r="BB46" s="156"/>
    </row>
    <row r="47" spans="2:54" x14ac:dyDescent="0.25">
      <c r="B47" s="45">
        <f>IFERROR(INDEX(ListeCours[],MATCH(tables!$A$37&amp;"."&amp;tables!C46&amp;"."&amp;Année,ListeCours[clé_date],0),3),"")</f>
        <v>45016</v>
      </c>
      <c r="C47" s="49">
        <f>IFERROR(INDEX(ListeCours[],MATCH(tables!$A$37&amp;"."&amp;tables!C46&amp;"."&amp;Année,ListeCours[clé_date],0),5),"")</f>
        <v>0.70833333333333337</v>
      </c>
      <c r="D47" s="49">
        <f>IFERROR(INDEX(ListeCours[],MATCH(tables!$A$37&amp;"."&amp;tables!C46&amp;"."&amp;Année,ListeCours[clé_date],0),6),"")</f>
        <v>0.83333333333333337</v>
      </c>
      <c r="E47" s="50" t="str">
        <f>IFERROR(INDEX(ListeCours[],MATCH(tables!$A$37&amp;"."&amp;tables!C46&amp;"."&amp;Année,ListeCours[clé_date],0),2),"")</f>
        <v>M3.3</v>
      </c>
      <c r="F47" s="156" t="str">
        <f>IFERROR(INDEX(ListeCours[],MATCH(tables!$A$37&amp;"."&amp;tables!C46&amp;"."&amp;Année,ListeCours[clé_date],0),16),"")</f>
        <v>COURL</v>
      </c>
      <c r="G47" s="158">
        <f>IFERROR(INDEX(ListeCours[],MATCH(tables!$A$37&amp;"."&amp;tables!C46&amp;"."&amp;Année,ListeCours[clé_date],0),9),"")</f>
        <v>0</v>
      </c>
      <c r="H47" s="156"/>
      <c r="I47" s="156"/>
      <c r="J47" s="39"/>
      <c r="K47" s="45">
        <f>IFERROR(INDEX(ListeCours[],MATCH(tables!$A$38&amp;"."&amp;tables!C46&amp;"."&amp;Année,ListeCours[clé_date],0),3),"")</f>
        <v>45038</v>
      </c>
      <c r="L47" s="49">
        <f>IFERROR(INDEX(ListeCours[],MATCH(tables!$A$38&amp;"."&amp;tables!C46&amp;"."&amp;Année,ListeCours[clé_date],0),5),"")</f>
        <v>0.33333333333333331</v>
      </c>
      <c r="M47" s="49">
        <f>IFERROR(INDEX(ListeCours[],MATCH(tables!$A$38&amp;"."&amp;tables!C46&amp;"."&amp;Année,ListeCours[clé_date],0),6),"")</f>
        <v>0.5</v>
      </c>
      <c r="N47" s="50" t="str">
        <f>IFERROR(INDEX(ListeCours[],MATCH(tables!$A$38&amp;"."&amp;tables!C46&amp;"."&amp;Année,ListeCours[clé_date],0),2),"")</f>
        <v>M5.4</v>
      </c>
      <c r="O47" s="156" t="str">
        <f>IFERROR(INDEX(ListeCours[],MATCH(tables!$A$38&amp;"."&amp;tables!C46&amp;"."&amp;Année,ListeCours[clé_date],0),16),"")</f>
        <v>FERRA</v>
      </c>
      <c r="P47" s="158">
        <f>IFERROR(INDEX(ListeCours[],MATCH(tables!$A$38&amp;"."&amp;tables!C46&amp;"."&amp;Année,ListeCours[clé_date],0),9),"")</f>
        <v>0</v>
      </c>
      <c r="Q47" s="156"/>
      <c r="R47" s="156"/>
      <c r="T47" s="45">
        <f>IFERROR(INDEX(ListeCours[],MATCH(tables!$A$41&amp;"."&amp;tables!C46&amp;"."&amp;Année,ListeCours[clé_date],0),3),"")</f>
        <v>45136</v>
      </c>
      <c r="U47" s="49">
        <f>IFERROR(INDEX(ListeCours[],MATCH(tables!$A$41&amp;"."&amp;tables!C46&amp;"."&amp;Année,ListeCours[clé_date],0),5),"")</f>
        <v>0.33333333333333331</v>
      </c>
      <c r="V47" s="49">
        <f>IFERROR(INDEX(ListeCours[],MATCH(tables!$A$41&amp;"."&amp;tables!C46&amp;"."&amp;Année,ListeCours[clé_date],0),6),"")</f>
        <v>0.5</v>
      </c>
      <c r="W47" s="50" t="str">
        <f>IFERROR(INDEX(ListeCours[],MATCH(tables!$A$41&amp;"."&amp;tables!C46&amp;"."&amp;Année,ListeCours[clé_date],0),2),"")</f>
        <v>M8.3</v>
      </c>
      <c r="X47" s="156" t="str">
        <f>IFERROR(INDEX(ListeCours[],MATCH(tables!$A$41&amp;"."&amp;tables!C46&amp;"."&amp;Année,ListeCours[clé_date],0),16),"")</f>
        <v>LEROU</v>
      </c>
      <c r="Y47" s="158">
        <f>IFERROR(INDEX(ListeCours[],MATCH(tables!$A$41&amp;"."&amp;tables!C46&amp;"."&amp;Année,ListeCours[clé_date],0),9),"")</f>
        <v>0</v>
      </c>
      <c r="Z47" s="156"/>
      <c r="AA47" s="156"/>
      <c r="AB47" s="39"/>
      <c r="AC47" s="45">
        <f>IFERROR(INDEX(ListeCours[],MATCH(tables!$A$42&amp;"."&amp;tables!C46&amp;"."&amp;Année,ListeCours[clé_date],0),3),"")</f>
        <v>45163</v>
      </c>
      <c r="AD47" s="49">
        <f>IFERROR(INDEX(ListeCours[],MATCH(tables!$A$42&amp;"."&amp;tables!C46&amp;"."&amp;Année,ListeCours[clé_date],0),5),"")</f>
        <v>0.70833333333333337</v>
      </c>
      <c r="AE47" s="49">
        <f>IFERROR(INDEX(ListeCours[],MATCH(tables!$A$42&amp;"."&amp;tables!C46&amp;"."&amp;Année,ListeCours[clé_date],0),6),"")</f>
        <v>0.83333333333333337</v>
      </c>
      <c r="AF47" s="50" t="str">
        <f>IFERROR(INDEX(ListeCours[],MATCH(tables!$A$42&amp;"."&amp;tables!C46&amp;"."&amp;Année,ListeCours[clé_date],0),2),"")</f>
        <v>M4.3</v>
      </c>
      <c r="AG47" s="156" t="str">
        <f>IFERROR(INDEX(ListeCours[],MATCH(tables!$A$42&amp;"."&amp;tables!C46&amp;"."&amp;Année,ListeCours[clé_date],0),16),"")</f>
        <v>LABOR</v>
      </c>
      <c r="AH47" s="158">
        <f>IFERROR(INDEX(ListeCours[],MATCH(tables!$A$42&amp;"."&amp;tables!C46&amp;"."&amp;Année,ListeCours[clé_date],0),9),"")</f>
        <v>0</v>
      </c>
      <c r="AI47" s="156"/>
      <c r="AJ47" s="156"/>
      <c r="AL47" s="45" t="str">
        <f>IFERROR(INDEX(ListeCours[],MATCH(tables!$A$45&amp;"."&amp;tables!C46&amp;"."&amp;Année,ListeCours[clé_date],0),3),"")</f>
        <v/>
      </c>
      <c r="AM47" s="49" t="str">
        <f>IFERROR(INDEX(ListeCours[],MATCH(tables!$A$45&amp;"."&amp;tables!C46&amp;"."&amp;Année,ListeCours[clé_date],0),5),"")</f>
        <v/>
      </c>
      <c r="AN47" s="49" t="str">
        <f>IFERROR(INDEX(ListeCours[],MATCH(tables!$A$45&amp;"."&amp;tables!C46&amp;"."&amp;Année,ListeCours[clé_date],0),6),"")</f>
        <v/>
      </c>
      <c r="AO47" s="50" t="str">
        <f>IFERROR(INDEX(ListeCours[],MATCH(tables!$A$45&amp;"."&amp;tables!C46&amp;"."&amp;Année,ListeCours[clé_date],0),2),"")</f>
        <v/>
      </c>
      <c r="AP47" s="156" t="str">
        <f>IFERROR(INDEX(ListeCours[],MATCH(tables!$A$45&amp;"."&amp;tables!C46&amp;"."&amp;Année,ListeCours[clé_date],0),16),"")</f>
        <v/>
      </c>
      <c r="AQ47" s="158" t="str">
        <f>IFERROR(INDEX(ListeCours[],MATCH(tables!$A$45&amp;"."&amp;tables!C46&amp;"."&amp;Année,ListeCours[clé_date],0),9),"")</f>
        <v/>
      </c>
      <c r="AR47" s="156"/>
      <c r="AS47" s="156"/>
      <c r="AT47" s="39"/>
      <c r="AU47" s="45" t="str">
        <f>IFERROR(INDEX(ListeCours[],MATCH(tables!$A$46&amp;"."&amp;tables!C46&amp;"."&amp;Année,ListeCours[clé_date],0),3),"")</f>
        <v/>
      </c>
      <c r="AV47" s="49" t="str">
        <f>IFERROR(INDEX(ListeCours[],MATCH(tables!$A$46&amp;"."&amp;tables!C46&amp;"."&amp;Année,ListeCours[clé_date],0),5),"")</f>
        <v/>
      </c>
      <c r="AW47" s="49" t="str">
        <f>IFERROR(INDEX(ListeCours[],MATCH(tables!$A$46&amp;"."&amp;tables!C46&amp;"."&amp;Année,ListeCours[clé_date],0),6),"")</f>
        <v/>
      </c>
      <c r="AX47" s="50" t="str">
        <f>IFERROR(INDEX(ListeCours[],MATCH(tables!$A$46&amp;"."&amp;tables!C46&amp;"."&amp;Année,ListeCours[clé_date],0),2),"")</f>
        <v/>
      </c>
      <c r="AY47" s="156" t="str">
        <f>IFERROR(INDEX(ListeCours[],MATCH(tables!$A$46&amp;"."&amp;tables!C46&amp;"."&amp;Année,ListeCours[clé_date],0),16),"")</f>
        <v/>
      </c>
      <c r="AZ47" s="158" t="str">
        <f>IFERROR(INDEX(ListeCours[],MATCH(tables!$A$46&amp;"."&amp;tables!C46&amp;"."&amp;Année,ListeCours[clé_date],0),9),"")</f>
        <v/>
      </c>
      <c r="BA47" s="156"/>
      <c r="BB47" s="156"/>
    </row>
    <row r="48" spans="2:54" x14ac:dyDescent="0.25">
      <c r="B48" s="45" t="str">
        <f>IFERROR(INDEX(ListeCours[],MATCH(tables!$A$37&amp;"."&amp;tables!C47&amp;"."&amp;Année,ListeCours[clé_date],0),3),"")</f>
        <v/>
      </c>
      <c r="C48" s="49" t="str">
        <f>IFERROR(INDEX(ListeCours[],MATCH(tables!$A$37&amp;"."&amp;tables!C47&amp;"."&amp;Année,ListeCours[clé_date],0),5),"")</f>
        <v/>
      </c>
      <c r="D48" s="49" t="str">
        <f>IFERROR(INDEX(ListeCours[],MATCH(tables!$A$37&amp;"."&amp;tables!C47&amp;"."&amp;Année,ListeCours[clé_date],0),6),"")</f>
        <v/>
      </c>
      <c r="E48" s="50" t="str">
        <f>IFERROR(INDEX(ListeCours[],MATCH(tables!$A$37&amp;"."&amp;tables!C47&amp;"."&amp;Année,ListeCours[clé_date],0),2),"")</f>
        <v/>
      </c>
      <c r="F48" s="156" t="str">
        <f>IFERROR(INDEX(ListeCours[],MATCH(tables!$A$37&amp;"."&amp;tables!C47&amp;"."&amp;Année,ListeCours[clé_date],0),16),"")</f>
        <v/>
      </c>
      <c r="G48" s="158" t="str">
        <f>IFERROR(INDEX(ListeCours[],MATCH(tables!$A$37&amp;"."&amp;tables!C47&amp;"."&amp;Année,ListeCours[clé_date],0),9),"")</f>
        <v/>
      </c>
      <c r="H48" s="156"/>
      <c r="I48" s="156"/>
      <c r="J48" s="39"/>
      <c r="K48" s="45">
        <f>IFERROR(INDEX(ListeCours[],MATCH(tables!$A$38&amp;"."&amp;tables!C47&amp;"."&amp;Année,ListeCours[clé_date],0),3),"")</f>
        <v>45043</v>
      </c>
      <c r="L48" s="49">
        <f>IFERROR(INDEX(ListeCours[],MATCH(tables!$A$38&amp;"."&amp;tables!C47&amp;"."&amp;Année,ListeCours[clé_date],0),5),"")</f>
        <v>0.70833333333333337</v>
      </c>
      <c r="M48" s="49">
        <f>IFERROR(INDEX(ListeCours[],MATCH(tables!$A$38&amp;"."&amp;tables!C47&amp;"."&amp;Année,ListeCours[clé_date],0),6),"")</f>
        <v>0.83333333333333337</v>
      </c>
      <c r="N48" s="50" t="str">
        <f>IFERROR(INDEX(ListeCours[],MATCH(tables!$A$38&amp;"."&amp;tables!C47&amp;"."&amp;Année,ListeCours[clé_date],0),2),"")</f>
        <v>M5.4</v>
      </c>
      <c r="O48" s="156" t="str">
        <f>IFERROR(INDEX(ListeCours[],MATCH(tables!$A$38&amp;"."&amp;tables!C47&amp;"."&amp;Année,ListeCours[clé_date],0),16),"")</f>
        <v>FERRA</v>
      </c>
      <c r="P48" s="158">
        <f>IFERROR(INDEX(ListeCours[],MATCH(tables!$A$38&amp;"."&amp;tables!C47&amp;"."&amp;Année,ListeCours[clé_date],0),9),"")</f>
        <v>0</v>
      </c>
      <c r="Q48" s="156"/>
      <c r="R48" s="156"/>
      <c r="T48" s="45" t="str">
        <f>IFERROR(INDEX(ListeCours[],MATCH(tables!$A$41&amp;"."&amp;tables!C47&amp;"."&amp;Année,ListeCours[clé_date],0),3),"")</f>
        <v/>
      </c>
      <c r="U48" s="49" t="str">
        <f>IFERROR(INDEX(ListeCours[],MATCH(tables!$A$41&amp;"."&amp;tables!C47&amp;"."&amp;Année,ListeCours[clé_date],0),5),"")</f>
        <v/>
      </c>
      <c r="V48" s="49" t="str">
        <f>IFERROR(INDEX(ListeCours[],MATCH(tables!$A$41&amp;"."&amp;tables!C47&amp;"."&amp;Année,ListeCours[clé_date],0),6),"")</f>
        <v/>
      </c>
      <c r="W48" s="50" t="str">
        <f>IFERROR(INDEX(ListeCours[],MATCH(tables!$A$41&amp;"."&amp;tables!C47&amp;"."&amp;Année,ListeCours[clé_date],0),2),"")</f>
        <v/>
      </c>
      <c r="X48" s="156" t="str">
        <f>IFERROR(INDEX(ListeCours[],MATCH(tables!$A$41&amp;"."&amp;tables!C47&amp;"."&amp;Année,ListeCours[clé_date],0),16),"")</f>
        <v/>
      </c>
      <c r="Y48" s="158" t="str">
        <f>IFERROR(INDEX(ListeCours[],MATCH(tables!$A$41&amp;"."&amp;tables!C47&amp;"."&amp;Année,ListeCours[clé_date],0),9),"")</f>
        <v/>
      </c>
      <c r="Z48" s="156"/>
      <c r="AA48" s="156"/>
      <c r="AB48" s="39"/>
      <c r="AC48" s="45">
        <f>IFERROR(INDEX(ListeCours[],MATCH(tables!$A$42&amp;"."&amp;tables!C47&amp;"."&amp;Année,ListeCours[clé_date],0),3),"")</f>
        <v>45164</v>
      </c>
      <c r="AD48" s="49">
        <f>IFERROR(INDEX(ListeCours[],MATCH(tables!$A$42&amp;"."&amp;tables!C47&amp;"."&amp;Année,ListeCours[clé_date],0),5),"")</f>
        <v>0.33333333333333331</v>
      </c>
      <c r="AE48" s="49">
        <f>IFERROR(INDEX(ListeCours[],MATCH(tables!$A$42&amp;"."&amp;tables!C47&amp;"."&amp;Année,ListeCours[clé_date],0),6),"")</f>
        <v>0.5</v>
      </c>
      <c r="AF48" s="50" t="str">
        <f>IFERROR(INDEX(ListeCours[],MATCH(tables!$A$42&amp;"."&amp;tables!C47&amp;"."&amp;Année,ListeCours[clé_date],0),2),"")</f>
        <v>M4.3</v>
      </c>
      <c r="AG48" s="156" t="str">
        <f>IFERROR(INDEX(ListeCours[],MATCH(tables!$A$42&amp;"."&amp;tables!C47&amp;"."&amp;Année,ListeCours[clé_date],0),16),"")</f>
        <v>LABOR</v>
      </c>
      <c r="AH48" s="158">
        <f>IFERROR(INDEX(ListeCours[],MATCH(tables!$A$42&amp;"."&amp;tables!C47&amp;"."&amp;Année,ListeCours[clé_date],0),9),"")</f>
        <v>0</v>
      </c>
      <c r="AI48" s="156"/>
      <c r="AJ48" s="156"/>
      <c r="AL48" s="45" t="str">
        <f>IFERROR(INDEX(ListeCours[],MATCH(tables!$A$45&amp;"."&amp;tables!C47&amp;"."&amp;Année,ListeCours[clé_date],0),3),"")</f>
        <v/>
      </c>
      <c r="AM48" s="49" t="str">
        <f>IFERROR(INDEX(ListeCours[],MATCH(tables!$A$45&amp;"."&amp;tables!C47&amp;"."&amp;Année,ListeCours[clé_date],0),5),"")</f>
        <v/>
      </c>
      <c r="AN48" s="49" t="str">
        <f>IFERROR(INDEX(ListeCours[],MATCH(tables!$A$45&amp;"."&amp;tables!C47&amp;"."&amp;Année,ListeCours[clé_date],0),6),"")</f>
        <v/>
      </c>
      <c r="AO48" s="50" t="str">
        <f>IFERROR(INDEX(ListeCours[],MATCH(tables!$A$45&amp;"."&amp;tables!C47&amp;"."&amp;Année,ListeCours[clé_date],0),2),"")</f>
        <v/>
      </c>
      <c r="AP48" s="156" t="str">
        <f>IFERROR(INDEX(ListeCours[],MATCH(tables!$A$45&amp;"."&amp;tables!C47&amp;"."&amp;Année,ListeCours[clé_date],0),16),"")</f>
        <v/>
      </c>
      <c r="AQ48" s="158" t="str">
        <f>IFERROR(INDEX(ListeCours[],MATCH(tables!$A$45&amp;"."&amp;tables!C47&amp;"."&amp;Année,ListeCours[clé_date],0),9),"")</f>
        <v/>
      </c>
      <c r="AR48" s="156"/>
      <c r="AS48" s="156"/>
      <c r="AT48" s="39"/>
      <c r="AU48" s="45" t="str">
        <f>IFERROR(INDEX(ListeCours[],MATCH(tables!$A$46&amp;"."&amp;tables!C47&amp;"."&amp;Année,ListeCours[clé_date],0),3),"")</f>
        <v/>
      </c>
      <c r="AV48" s="49" t="str">
        <f>IFERROR(INDEX(ListeCours[],MATCH(tables!$A$46&amp;"."&amp;tables!C47&amp;"."&amp;Année,ListeCours[clé_date],0),5),"")</f>
        <v/>
      </c>
      <c r="AW48" s="49" t="str">
        <f>IFERROR(INDEX(ListeCours[],MATCH(tables!$A$46&amp;"."&amp;tables!C47&amp;"."&amp;Année,ListeCours[clé_date],0),6),"")</f>
        <v/>
      </c>
      <c r="AX48" s="50" t="str">
        <f>IFERROR(INDEX(ListeCours[],MATCH(tables!$A$46&amp;"."&amp;tables!C47&amp;"."&amp;Année,ListeCours[clé_date],0),2),"")</f>
        <v/>
      </c>
      <c r="AY48" s="156" t="str">
        <f>IFERROR(INDEX(ListeCours[],MATCH(tables!$A$46&amp;"."&amp;tables!C47&amp;"."&amp;Année,ListeCours[clé_date],0),16),"")</f>
        <v/>
      </c>
      <c r="AZ48" s="158" t="str">
        <f>IFERROR(INDEX(ListeCours[],MATCH(tables!$A$46&amp;"."&amp;tables!C47&amp;"."&amp;Année,ListeCours[clé_date],0),9),"")</f>
        <v/>
      </c>
      <c r="BA48" s="156"/>
      <c r="BB48" s="156"/>
    </row>
    <row r="49" spans="2:54" x14ac:dyDescent="0.25">
      <c r="B49" s="45" t="str">
        <f>IFERROR(INDEX(ListeCours[],MATCH(tables!$A$37&amp;"."&amp;tables!C48&amp;"."&amp;Année,ListeCours[clé_date],0),3),"")</f>
        <v/>
      </c>
      <c r="C49" s="49" t="str">
        <f>IFERROR(INDEX(ListeCours[],MATCH(tables!$A$37&amp;"."&amp;tables!C48&amp;"."&amp;Année,ListeCours[clé_date],0),5),"")</f>
        <v/>
      </c>
      <c r="D49" s="49" t="str">
        <f>IFERROR(INDEX(ListeCours[],MATCH(tables!$A$37&amp;"."&amp;tables!C48&amp;"."&amp;Année,ListeCours[clé_date],0),6),"")</f>
        <v/>
      </c>
      <c r="E49" s="50" t="str">
        <f>IFERROR(INDEX(ListeCours[],MATCH(tables!$A$37&amp;"."&amp;tables!C48&amp;"."&amp;Année,ListeCours[clé_date],0),2),"")</f>
        <v/>
      </c>
      <c r="F49" s="156" t="str">
        <f>IFERROR(INDEX(ListeCours[],MATCH(tables!$A$37&amp;"."&amp;tables!C48&amp;"."&amp;Année,ListeCours[clé_date],0),16),"")</f>
        <v/>
      </c>
      <c r="G49" s="158" t="str">
        <f>IFERROR(INDEX(ListeCours[],MATCH(tables!$A$37&amp;"."&amp;tables!C48&amp;"."&amp;Année,ListeCours[clé_date],0),9),"")</f>
        <v/>
      </c>
      <c r="H49" s="156"/>
      <c r="I49" s="156"/>
      <c r="J49" s="39"/>
      <c r="K49" s="45">
        <f>IFERROR(INDEX(ListeCours[],MATCH(tables!$A$38&amp;"."&amp;tables!C48&amp;"."&amp;Année,ListeCours[clé_date],0),3),"")</f>
        <v>45044</v>
      </c>
      <c r="L49" s="49">
        <f>IFERROR(INDEX(ListeCours[],MATCH(tables!$A$38&amp;"."&amp;tables!C48&amp;"."&amp;Année,ListeCours[clé_date],0),5),"")</f>
        <v>0.70833333333333337</v>
      </c>
      <c r="M49" s="49">
        <f>IFERROR(INDEX(ListeCours[],MATCH(tables!$A$38&amp;"."&amp;tables!C48&amp;"."&amp;Année,ListeCours[clé_date],0),6),"")</f>
        <v>0.83333333333333337</v>
      </c>
      <c r="N49" s="50" t="str">
        <f>IFERROR(INDEX(ListeCours[],MATCH(tables!$A$38&amp;"."&amp;tables!C48&amp;"."&amp;Année,ListeCours[clé_date],0),2),"")</f>
        <v>M5.4</v>
      </c>
      <c r="O49" s="156" t="str">
        <f>IFERROR(INDEX(ListeCours[],MATCH(tables!$A$38&amp;"."&amp;tables!C48&amp;"."&amp;Année,ListeCours[clé_date],0),16),"")</f>
        <v>FERRA</v>
      </c>
      <c r="P49" s="158">
        <f>IFERROR(INDEX(ListeCours[],MATCH(tables!$A$38&amp;"."&amp;tables!C48&amp;"."&amp;Année,ListeCours[clé_date],0),9),"")</f>
        <v>0</v>
      </c>
      <c r="Q49" s="156"/>
      <c r="R49" s="156"/>
      <c r="T49" s="45" t="str">
        <f>IFERROR(INDEX(ListeCours[],MATCH(tables!$A$41&amp;"."&amp;tables!C48&amp;"."&amp;Année,ListeCours[clé_date],0),3),"")</f>
        <v/>
      </c>
      <c r="U49" s="49" t="str">
        <f>IFERROR(INDEX(ListeCours[],MATCH(tables!$A$41&amp;"."&amp;tables!C48&amp;"."&amp;Année,ListeCours[clé_date],0),5),"")</f>
        <v/>
      </c>
      <c r="V49" s="49" t="str">
        <f>IFERROR(INDEX(ListeCours[],MATCH(tables!$A$41&amp;"."&amp;tables!C48&amp;"."&amp;Année,ListeCours[clé_date],0),6),"")</f>
        <v/>
      </c>
      <c r="W49" s="50" t="str">
        <f>IFERROR(INDEX(ListeCours[],MATCH(tables!$A$41&amp;"."&amp;tables!C48&amp;"."&amp;Année,ListeCours[clé_date],0),2),"")</f>
        <v/>
      </c>
      <c r="X49" s="156" t="str">
        <f>IFERROR(INDEX(ListeCours[],MATCH(tables!$A$41&amp;"."&amp;tables!C48&amp;"."&amp;Année,ListeCours[clé_date],0),16),"")</f>
        <v/>
      </c>
      <c r="Y49" s="158" t="str">
        <f>IFERROR(INDEX(ListeCours[],MATCH(tables!$A$41&amp;"."&amp;tables!C48&amp;"."&amp;Année,ListeCours[clé_date],0),9),"")</f>
        <v/>
      </c>
      <c r="Z49" s="156"/>
      <c r="AA49" s="156"/>
      <c r="AB49" s="39"/>
      <c r="AC49" s="45">
        <f>IFERROR(INDEX(ListeCours[],MATCH(tables!$A$42&amp;"."&amp;tables!C48&amp;"."&amp;Année,ListeCours[clé_date],0),3),"")</f>
        <v>45169</v>
      </c>
      <c r="AD49" s="49">
        <f>IFERROR(INDEX(ListeCours[],MATCH(tables!$A$42&amp;"."&amp;tables!C48&amp;"."&amp;Année,ListeCours[clé_date],0),5),"")</f>
        <v>0.70833333333333337</v>
      </c>
      <c r="AE49" s="49">
        <f>IFERROR(INDEX(ListeCours[],MATCH(tables!$A$42&amp;"."&amp;tables!C48&amp;"."&amp;Année,ListeCours[clé_date],0),6),"")</f>
        <v>0.79166666666666663</v>
      </c>
      <c r="AF49" s="50" t="str">
        <f>IFERROR(INDEX(ListeCours[],MATCH(tables!$A$42&amp;"."&amp;tables!C48&amp;"."&amp;Année,ListeCours[clé_date],0),2),"")</f>
        <v>M4.3</v>
      </c>
      <c r="AG49" s="156" t="str">
        <f>IFERROR(INDEX(ListeCours[],MATCH(tables!$A$42&amp;"."&amp;tables!C48&amp;"."&amp;Année,ListeCours[clé_date],0),16),"")</f>
        <v>LABOR</v>
      </c>
      <c r="AH49" s="158">
        <f>IFERROR(INDEX(ListeCours[],MATCH(tables!$A$42&amp;"."&amp;tables!C48&amp;"."&amp;Année,ListeCours[clé_date],0),9),"")</f>
        <v>0</v>
      </c>
      <c r="AI49" s="156"/>
      <c r="AJ49" s="156"/>
      <c r="AL49" s="45" t="str">
        <f>IFERROR(INDEX(ListeCours[],MATCH(tables!$A$45&amp;"."&amp;tables!C48&amp;"."&amp;Année,ListeCours[clé_date],0),3),"")</f>
        <v/>
      </c>
      <c r="AM49" s="49" t="str">
        <f>IFERROR(INDEX(ListeCours[],MATCH(tables!$A$45&amp;"."&amp;tables!C48&amp;"."&amp;Année,ListeCours[clé_date],0),5),"")</f>
        <v/>
      </c>
      <c r="AN49" s="49" t="str">
        <f>IFERROR(INDEX(ListeCours[],MATCH(tables!$A$45&amp;"."&amp;tables!C48&amp;"."&amp;Année,ListeCours[clé_date],0),6),"")</f>
        <v/>
      </c>
      <c r="AO49" s="50" t="str">
        <f>IFERROR(INDEX(ListeCours[],MATCH(tables!$A$45&amp;"."&amp;tables!C48&amp;"."&amp;Année,ListeCours[clé_date],0),2),"")</f>
        <v/>
      </c>
      <c r="AP49" s="156" t="str">
        <f>IFERROR(INDEX(ListeCours[],MATCH(tables!$A$45&amp;"."&amp;tables!C48&amp;"."&amp;Année,ListeCours[clé_date],0),16),"")</f>
        <v/>
      </c>
      <c r="AQ49" s="158" t="str">
        <f>IFERROR(INDEX(ListeCours[],MATCH(tables!$A$45&amp;"."&amp;tables!C48&amp;"."&amp;Année,ListeCours[clé_date],0),9),"")</f>
        <v/>
      </c>
      <c r="AR49" s="156"/>
      <c r="AS49" s="156"/>
      <c r="AT49" s="39"/>
      <c r="AU49" s="45" t="str">
        <f>IFERROR(INDEX(ListeCours[],MATCH(tables!$A$46&amp;"."&amp;tables!C48&amp;"."&amp;Année,ListeCours[clé_date],0),3),"")</f>
        <v/>
      </c>
      <c r="AV49" s="49" t="str">
        <f>IFERROR(INDEX(ListeCours[],MATCH(tables!$A$46&amp;"."&amp;tables!C48&amp;"."&amp;Année,ListeCours[clé_date],0),5),"")</f>
        <v/>
      </c>
      <c r="AW49" s="49" t="str">
        <f>IFERROR(INDEX(ListeCours[],MATCH(tables!$A$46&amp;"."&amp;tables!C48&amp;"."&amp;Année,ListeCours[clé_date],0),6),"")</f>
        <v/>
      </c>
      <c r="AX49" s="50" t="str">
        <f>IFERROR(INDEX(ListeCours[],MATCH(tables!$A$46&amp;"."&amp;tables!C48&amp;"."&amp;Année,ListeCours[clé_date],0),2),"")</f>
        <v/>
      </c>
      <c r="AY49" s="156" t="str">
        <f>IFERROR(INDEX(ListeCours[],MATCH(tables!$A$46&amp;"."&amp;tables!C48&amp;"."&amp;Année,ListeCours[clé_date],0),16),"")</f>
        <v/>
      </c>
      <c r="AZ49" s="158" t="str">
        <f>IFERROR(INDEX(ListeCours[],MATCH(tables!$A$46&amp;"."&amp;tables!C48&amp;"."&amp;Année,ListeCours[clé_date],0),9),"")</f>
        <v/>
      </c>
      <c r="BA49" s="156"/>
      <c r="BB49" s="156"/>
    </row>
    <row r="50" spans="2:54" x14ac:dyDescent="0.25">
      <c r="B50" s="45" t="str">
        <f>IFERROR(INDEX(ListeCours[],MATCH(tables!$A$37&amp;"."&amp;tables!C49&amp;"."&amp;Année,ListeCours[clé_date],0),3),"")</f>
        <v/>
      </c>
      <c r="C50" s="49" t="str">
        <f>IFERROR(INDEX(ListeCours[],MATCH(tables!$A$37&amp;"."&amp;tables!C49&amp;"."&amp;Année,ListeCours[clé_date],0),5),"")</f>
        <v/>
      </c>
      <c r="D50" s="49" t="str">
        <f>IFERROR(INDEX(ListeCours[],MATCH(tables!$A$37&amp;"."&amp;tables!C49&amp;"."&amp;Année,ListeCours[clé_date],0),6),"")</f>
        <v/>
      </c>
      <c r="E50" s="50" t="str">
        <f>IFERROR(INDEX(ListeCours[],MATCH(tables!$A$37&amp;"."&amp;tables!C49&amp;"."&amp;Année,ListeCours[clé_date],0),2),"")</f>
        <v/>
      </c>
      <c r="F50" s="156" t="str">
        <f>IFERROR(INDEX(ListeCours[],MATCH(tables!$A$37&amp;"."&amp;tables!C49&amp;"."&amp;Année,ListeCours[clé_date],0),16),"")</f>
        <v/>
      </c>
      <c r="G50" s="158" t="str">
        <f>IFERROR(INDEX(ListeCours[],MATCH(tables!$A$37&amp;"."&amp;tables!C49&amp;"."&amp;Année,ListeCours[clé_date],0),9),"")</f>
        <v/>
      </c>
      <c r="H50" s="156"/>
      <c r="I50" s="156"/>
      <c r="J50" s="39"/>
      <c r="K50" s="45">
        <f>IFERROR(INDEX(ListeCours[],MATCH(tables!$A$38&amp;"."&amp;tables!C49&amp;"."&amp;Année,ListeCours[clé_date],0),3),"")</f>
        <v>45045</v>
      </c>
      <c r="L50" s="49">
        <f>IFERROR(INDEX(ListeCours[],MATCH(tables!$A$38&amp;"."&amp;tables!C49&amp;"."&amp;Année,ListeCours[clé_date],0),5),"")</f>
        <v>0.33333333333333331</v>
      </c>
      <c r="M50" s="49">
        <f>IFERROR(INDEX(ListeCours[],MATCH(tables!$A$38&amp;"."&amp;tables!C49&amp;"."&amp;Année,ListeCours[clé_date],0),6),"")</f>
        <v>0.5</v>
      </c>
      <c r="N50" s="50" t="str">
        <f>IFERROR(INDEX(ListeCours[],MATCH(tables!$A$38&amp;"."&amp;tables!C49&amp;"."&amp;Année,ListeCours[clé_date],0),2),"")</f>
        <v>M13</v>
      </c>
      <c r="O50" s="156" t="str">
        <f>IFERROR(INDEX(ListeCours[],MATCH(tables!$A$38&amp;"."&amp;tables!C49&amp;"."&amp;Année,ListeCours[clé_date],0),16),"")</f>
        <v>NAYLS</v>
      </c>
      <c r="P50" s="158">
        <f>IFERROR(INDEX(ListeCours[],MATCH(tables!$A$38&amp;"."&amp;tables!C49&amp;"."&amp;Année,ListeCours[clé_date],0),9),"")</f>
        <v>0</v>
      </c>
      <c r="Q50" s="156"/>
      <c r="R50" s="156"/>
      <c r="T50" s="45" t="str">
        <f>IFERROR(INDEX(ListeCours[],MATCH(tables!$A$41&amp;"."&amp;tables!C49&amp;"."&amp;Année,ListeCours[clé_date],0),3),"")</f>
        <v/>
      </c>
      <c r="U50" s="49" t="str">
        <f>IFERROR(INDEX(ListeCours[],MATCH(tables!$A$41&amp;"."&amp;tables!C49&amp;"."&amp;Année,ListeCours[clé_date],0),5),"")</f>
        <v/>
      </c>
      <c r="V50" s="49" t="str">
        <f>IFERROR(INDEX(ListeCours[],MATCH(tables!$A$41&amp;"."&amp;tables!C49&amp;"."&amp;Année,ListeCours[clé_date],0),6),"")</f>
        <v/>
      </c>
      <c r="W50" s="50" t="str">
        <f>IFERROR(INDEX(ListeCours[],MATCH(tables!$A$41&amp;"."&amp;tables!C49&amp;"."&amp;Année,ListeCours[clé_date],0),2),"")</f>
        <v/>
      </c>
      <c r="X50" s="156" t="str">
        <f>IFERROR(INDEX(ListeCours[],MATCH(tables!$A$41&amp;"."&amp;tables!C49&amp;"."&amp;Année,ListeCours[clé_date],0),16),"")</f>
        <v/>
      </c>
      <c r="Y50" s="158" t="str">
        <f>IFERROR(INDEX(ListeCours[],MATCH(tables!$A$41&amp;"."&amp;tables!C49&amp;"."&amp;Année,ListeCours[clé_date],0),9),"")</f>
        <v/>
      </c>
      <c r="Z50" s="156"/>
      <c r="AA50" s="156"/>
      <c r="AB50" s="39"/>
      <c r="AC50" s="45" t="str">
        <f>IFERROR(INDEX(ListeCours[],MATCH(tables!$A$42&amp;"."&amp;tables!C49&amp;"."&amp;Année,ListeCours[clé_date],0),3),"")</f>
        <v/>
      </c>
      <c r="AD50" s="49" t="str">
        <f>IFERROR(INDEX(ListeCours[],MATCH(tables!$A$42&amp;"."&amp;tables!C49&amp;"."&amp;Année,ListeCours[clé_date],0),5),"")</f>
        <v/>
      </c>
      <c r="AE50" s="49" t="str">
        <f>IFERROR(INDEX(ListeCours[],MATCH(tables!$A$42&amp;"."&amp;tables!C49&amp;"."&amp;Année,ListeCours[clé_date],0),6),"")</f>
        <v/>
      </c>
      <c r="AF50" s="50" t="str">
        <f>IFERROR(INDEX(ListeCours[],MATCH(tables!$A$42&amp;"."&amp;tables!C49&amp;"."&amp;Année,ListeCours[clé_date],0),2),"")</f>
        <v/>
      </c>
      <c r="AG50" s="156" t="str">
        <f>IFERROR(INDEX(ListeCours[],MATCH(tables!$A$42&amp;"."&amp;tables!C49&amp;"."&amp;Année,ListeCours[clé_date],0),16),"")</f>
        <v/>
      </c>
      <c r="AH50" s="158" t="str">
        <f>IFERROR(INDEX(ListeCours[],MATCH(tables!$A$42&amp;"."&amp;tables!C49&amp;"."&amp;Année,ListeCours[clé_date],0),9),"")</f>
        <v/>
      </c>
      <c r="AI50" s="156"/>
      <c r="AJ50" s="156"/>
      <c r="AL50" s="45" t="str">
        <f>IFERROR(INDEX(ListeCours[],MATCH(tables!$A$45&amp;"."&amp;tables!C49&amp;"."&amp;Année,ListeCours[clé_date],0),3),"")</f>
        <v/>
      </c>
      <c r="AM50" s="49" t="str">
        <f>IFERROR(INDEX(ListeCours[],MATCH(tables!$A$45&amp;"."&amp;tables!C49&amp;"."&amp;Année,ListeCours[clé_date],0),5),"")</f>
        <v/>
      </c>
      <c r="AN50" s="49" t="str">
        <f>IFERROR(INDEX(ListeCours[],MATCH(tables!$A$45&amp;"."&amp;tables!C49&amp;"."&amp;Année,ListeCours[clé_date],0),6),"")</f>
        <v/>
      </c>
      <c r="AO50" s="50" t="str">
        <f>IFERROR(INDEX(ListeCours[],MATCH(tables!$A$45&amp;"."&amp;tables!C49&amp;"."&amp;Année,ListeCours[clé_date],0),2),"")</f>
        <v/>
      </c>
      <c r="AP50" s="156" t="str">
        <f>IFERROR(INDEX(ListeCours[],MATCH(tables!$A$45&amp;"."&amp;tables!C49&amp;"."&amp;Année,ListeCours[clé_date],0),16),"")</f>
        <v/>
      </c>
      <c r="AQ50" s="158" t="str">
        <f>IFERROR(INDEX(ListeCours[],MATCH(tables!$A$45&amp;"."&amp;tables!C49&amp;"."&amp;Année,ListeCours[clé_date],0),9),"")</f>
        <v/>
      </c>
      <c r="AR50" s="156"/>
      <c r="AS50" s="156"/>
      <c r="AT50" s="39"/>
      <c r="AU50" s="45" t="str">
        <f>IFERROR(INDEX(ListeCours[],MATCH(tables!$A$46&amp;"."&amp;tables!C49&amp;"."&amp;Année,ListeCours[clé_date],0),3),"")</f>
        <v/>
      </c>
      <c r="AV50" s="49" t="str">
        <f>IFERROR(INDEX(ListeCours[],MATCH(tables!$A$46&amp;"."&amp;tables!C49&amp;"."&amp;Année,ListeCours[clé_date],0),5),"")</f>
        <v/>
      </c>
      <c r="AW50" s="49" t="str">
        <f>IFERROR(INDEX(ListeCours[],MATCH(tables!$A$46&amp;"."&amp;tables!C49&amp;"."&amp;Année,ListeCours[clé_date],0),6),"")</f>
        <v/>
      </c>
      <c r="AX50" s="50" t="str">
        <f>IFERROR(INDEX(ListeCours[],MATCH(tables!$A$46&amp;"."&amp;tables!C49&amp;"."&amp;Année,ListeCours[clé_date],0),2),"")</f>
        <v/>
      </c>
      <c r="AY50" s="156" t="str">
        <f>IFERROR(INDEX(ListeCours[],MATCH(tables!$A$46&amp;"."&amp;tables!C49&amp;"."&amp;Année,ListeCours[clé_date],0),16),"")</f>
        <v/>
      </c>
      <c r="AZ50" s="158" t="str">
        <f>IFERROR(INDEX(ListeCours[],MATCH(tables!$A$46&amp;"."&amp;tables!C49&amp;"."&amp;Année,ListeCours[clé_date],0),9),"")</f>
        <v/>
      </c>
      <c r="BA50" s="156"/>
      <c r="BB50" s="156"/>
    </row>
    <row r="51" spans="2:54" x14ac:dyDescent="0.25">
      <c r="B51" s="45" t="str">
        <f>IFERROR(INDEX(ListeCours[],MATCH(tables!$A$37&amp;"."&amp;tables!C50&amp;"."&amp;Année,ListeCours[clé_date],0),3),"")</f>
        <v/>
      </c>
      <c r="C51" s="49" t="str">
        <f>IFERROR(INDEX(ListeCours[],MATCH(tables!$A$37&amp;"."&amp;tables!C50&amp;"."&amp;Année,ListeCours[clé_date],0),5),"")</f>
        <v/>
      </c>
      <c r="D51" s="49" t="str">
        <f>IFERROR(INDEX(ListeCours[],MATCH(tables!$A$37&amp;"."&amp;tables!C50&amp;"."&amp;Année,ListeCours[clé_date],0),6),"")</f>
        <v/>
      </c>
      <c r="E51" s="50" t="str">
        <f>IFERROR(INDEX(ListeCours[],MATCH(tables!$A$37&amp;"."&amp;tables!C50&amp;"."&amp;Année,ListeCours[clé_date],0),2),"")</f>
        <v/>
      </c>
      <c r="F51" s="156" t="str">
        <f>IFERROR(INDEX(ListeCours[],MATCH(tables!$A$37&amp;"."&amp;tables!C50&amp;"."&amp;Année,ListeCours[clé_date],0),16),"")</f>
        <v/>
      </c>
      <c r="G51" s="158" t="str">
        <f>IFERROR(INDEX(ListeCours[],MATCH(tables!$A$37&amp;"."&amp;tables!C50&amp;"."&amp;Année,ListeCours[clé_date],0),9),"")</f>
        <v/>
      </c>
      <c r="H51" s="156"/>
      <c r="I51" s="156"/>
      <c r="K51" s="45" t="str">
        <f>IFERROR(INDEX(ListeCours[],MATCH(tables!$A$38&amp;"."&amp;tables!C50&amp;"."&amp;Année,ListeCours[clé_date],0),3),"")</f>
        <v/>
      </c>
      <c r="L51" s="49" t="str">
        <f>IFERROR(INDEX(ListeCours[],MATCH(tables!$A$38&amp;"."&amp;tables!C50&amp;"."&amp;Année,ListeCours[clé_date],0),5),"")</f>
        <v/>
      </c>
      <c r="M51" s="49" t="str">
        <f>IFERROR(INDEX(ListeCours[],MATCH(tables!$A$38&amp;"."&amp;tables!C50&amp;"."&amp;Année,ListeCours[clé_date],0),6),"")</f>
        <v/>
      </c>
      <c r="N51" s="50" t="str">
        <f>IFERROR(INDEX(ListeCours[],MATCH(tables!$A$38&amp;"."&amp;tables!C50&amp;"."&amp;Année,ListeCours[clé_date],0),2),"")</f>
        <v/>
      </c>
      <c r="O51" s="156" t="str">
        <f>IFERROR(INDEX(ListeCours[],MATCH(tables!$A$38&amp;"."&amp;tables!C50&amp;"."&amp;Année,ListeCours[clé_date],0),16),"")</f>
        <v/>
      </c>
      <c r="P51" s="158" t="str">
        <f>IFERROR(INDEX(ListeCours[],MATCH(tables!$A$38&amp;"."&amp;tables!C50&amp;"."&amp;Année,ListeCours[clé_date],0),9),"")</f>
        <v/>
      </c>
      <c r="Q51" s="156"/>
      <c r="R51" s="156"/>
      <c r="T51" s="45" t="str">
        <f>IFERROR(INDEX(ListeCours[],MATCH(tables!$A$41&amp;"."&amp;tables!C50&amp;"."&amp;Année,ListeCours[clé_date],0),3),"")</f>
        <v/>
      </c>
      <c r="U51" s="49" t="str">
        <f>IFERROR(INDEX(ListeCours[],MATCH(tables!$A$41&amp;"."&amp;tables!C50&amp;"."&amp;Année,ListeCours[clé_date],0),5),"")</f>
        <v/>
      </c>
      <c r="V51" s="49" t="str">
        <f>IFERROR(INDEX(ListeCours[],MATCH(tables!$A$41&amp;"."&amp;tables!C50&amp;"."&amp;Année,ListeCours[clé_date],0),6),"")</f>
        <v/>
      </c>
      <c r="W51" s="50" t="str">
        <f>IFERROR(INDEX(ListeCours[],MATCH(tables!$A$41&amp;"."&amp;tables!C50&amp;"."&amp;Année,ListeCours[clé_date],0),2),"")</f>
        <v/>
      </c>
      <c r="X51" s="156" t="str">
        <f>IFERROR(INDEX(ListeCours[],MATCH(tables!$A$41&amp;"."&amp;tables!C50&amp;"."&amp;Année,ListeCours[clé_date],0),16),"")</f>
        <v/>
      </c>
      <c r="Y51" s="158" t="str">
        <f>IFERROR(INDEX(ListeCours[],MATCH(tables!$A$41&amp;"."&amp;tables!C50&amp;"."&amp;Année,ListeCours[clé_date],0),9),"")</f>
        <v/>
      </c>
      <c r="Z51" s="156"/>
      <c r="AA51" s="156"/>
      <c r="AC51" s="45" t="str">
        <f>IFERROR(INDEX(ListeCours[],MATCH(tables!$A$42&amp;"."&amp;tables!C50&amp;"."&amp;Année,ListeCours[clé_date],0),3),"")</f>
        <v/>
      </c>
      <c r="AD51" s="49" t="str">
        <f>IFERROR(INDEX(ListeCours[],MATCH(tables!$A$42&amp;"."&amp;tables!C50&amp;"."&amp;Année,ListeCours[clé_date],0),5),"")</f>
        <v/>
      </c>
      <c r="AE51" s="49" t="str">
        <f>IFERROR(INDEX(ListeCours[],MATCH(tables!$A$42&amp;"."&amp;tables!C50&amp;"."&amp;Année,ListeCours[clé_date],0),6),"")</f>
        <v/>
      </c>
      <c r="AF51" s="50" t="str">
        <f>IFERROR(INDEX(ListeCours[],MATCH(tables!$A$42&amp;"."&amp;tables!C50&amp;"."&amp;Année,ListeCours[clé_date],0),2),"")</f>
        <v/>
      </c>
      <c r="AG51" s="156" t="str">
        <f>IFERROR(INDEX(ListeCours[],MATCH(tables!$A$42&amp;"."&amp;tables!C50&amp;"."&amp;Année,ListeCours[clé_date],0),16),"")</f>
        <v/>
      </c>
      <c r="AH51" s="158" t="str">
        <f>IFERROR(INDEX(ListeCours[],MATCH(tables!$A$42&amp;"."&amp;tables!C50&amp;"."&amp;Année,ListeCours[clé_date],0),9),"")</f>
        <v/>
      </c>
      <c r="AI51" s="156"/>
      <c r="AJ51" s="156"/>
      <c r="AL51" s="45" t="str">
        <f>IFERROR(INDEX(ListeCours[],MATCH(tables!$A$45&amp;"."&amp;tables!C50&amp;"."&amp;Année,ListeCours[clé_date],0),3),"")</f>
        <v/>
      </c>
      <c r="AM51" s="49" t="str">
        <f>IFERROR(INDEX(ListeCours[],MATCH(tables!$A$45&amp;"."&amp;tables!C50&amp;"."&amp;Année,ListeCours[clé_date],0),5),"")</f>
        <v/>
      </c>
      <c r="AN51" s="49" t="str">
        <f>IFERROR(INDEX(ListeCours[],MATCH(tables!$A$45&amp;"."&amp;tables!C50&amp;"."&amp;Année,ListeCours[clé_date],0),6),"")</f>
        <v/>
      </c>
      <c r="AO51" s="50" t="str">
        <f>IFERROR(INDEX(ListeCours[],MATCH(tables!$A$45&amp;"."&amp;tables!C50&amp;"."&amp;Année,ListeCours[clé_date],0),2),"")</f>
        <v/>
      </c>
      <c r="AP51" s="156" t="str">
        <f>IFERROR(INDEX(ListeCours[],MATCH(tables!$A$45&amp;"."&amp;tables!C50&amp;"."&amp;Année,ListeCours[clé_date],0),16),"")</f>
        <v/>
      </c>
      <c r="AQ51" s="158" t="str">
        <f>IFERROR(INDEX(ListeCours[],MATCH(tables!$A$45&amp;"."&amp;tables!C50&amp;"."&amp;Année,ListeCours[clé_date],0),9),"")</f>
        <v/>
      </c>
      <c r="AR51" s="156"/>
      <c r="AS51" s="156"/>
      <c r="AU51" s="45" t="str">
        <f>IFERROR(INDEX(ListeCours[],MATCH(tables!$A$46&amp;"."&amp;tables!C50&amp;"."&amp;Année,ListeCours[clé_date],0),3),"")</f>
        <v/>
      </c>
      <c r="AV51" s="49" t="str">
        <f>IFERROR(INDEX(ListeCours[],MATCH(tables!$A$46&amp;"."&amp;tables!C50&amp;"."&amp;Année,ListeCours[clé_date],0),5),"")</f>
        <v/>
      </c>
      <c r="AW51" s="49" t="str">
        <f>IFERROR(INDEX(ListeCours[],MATCH(tables!$A$46&amp;"."&amp;tables!C50&amp;"."&amp;Année,ListeCours[clé_date],0),6),"")</f>
        <v/>
      </c>
      <c r="AX51" s="50" t="str">
        <f>IFERROR(INDEX(ListeCours[],MATCH(tables!$A$46&amp;"."&amp;tables!C50&amp;"."&amp;Année,ListeCours[clé_date],0),2),"")</f>
        <v/>
      </c>
      <c r="AY51" s="156" t="str">
        <f>IFERROR(INDEX(ListeCours[],MATCH(tables!$A$46&amp;"."&amp;tables!C50&amp;"."&amp;Année,ListeCours[clé_date],0),16),"")</f>
        <v/>
      </c>
      <c r="AZ51" s="158" t="str">
        <f>IFERROR(INDEX(ListeCours[],MATCH(tables!$A$46&amp;"."&amp;tables!C50&amp;"."&amp;Année,ListeCours[clé_date],0),9),"")</f>
        <v/>
      </c>
      <c r="BA51" s="156"/>
      <c r="BB51" s="156"/>
    </row>
    <row r="52" spans="2:54" x14ac:dyDescent="0.25">
      <c r="B52" s="45" t="str">
        <f>IFERROR(INDEX(ListeCours[],MATCH(tables!$A$37&amp;"."&amp;tables!C51&amp;"."&amp;Année,ListeCours[clé_date],0),3),"")</f>
        <v/>
      </c>
      <c r="C52" s="49" t="str">
        <f>IFERROR(INDEX(ListeCours[],MATCH(tables!$A$37&amp;"."&amp;tables!C51&amp;"."&amp;Année,ListeCours[clé_date],0),5),"")</f>
        <v/>
      </c>
      <c r="D52" s="49" t="str">
        <f>IFERROR(INDEX(ListeCours[],MATCH(tables!$A$37&amp;"."&amp;tables!C51&amp;"."&amp;Année,ListeCours[clé_date],0),6),"")</f>
        <v/>
      </c>
      <c r="E52" s="50" t="str">
        <f>IFERROR(INDEX(ListeCours[],MATCH(tables!$A$37&amp;"."&amp;tables!C51&amp;"."&amp;Année,ListeCours[clé_date],0),2),"")</f>
        <v/>
      </c>
      <c r="F52" s="156" t="str">
        <f>IFERROR(INDEX(ListeCours[],MATCH(tables!$A$37&amp;"."&amp;tables!C51&amp;"."&amp;Année,ListeCours[clé_date],0),16),"")</f>
        <v/>
      </c>
      <c r="G52" s="158" t="str">
        <f>IFERROR(INDEX(ListeCours[],MATCH(tables!$A$37&amp;"."&amp;tables!C51&amp;"."&amp;Année,ListeCours[clé_date],0),9),"")</f>
        <v/>
      </c>
      <c r="H52" s="156"/>
      <c r="I52" s="156"/>
      <c r="K52" s="45" t="str">
        <f>IFERROR(INDEX(ListeCours[],MATCH(tables!$A$38&amp;"."&amp;tables!C51&amp;"."&amp;Année,ListeCours[clé_date],0),3),"")</f>
        <v/>
      </c>
      <c r="L52" s="49" t="str">
        <f>IFERROR(INDEX(ListeCours[],MATCH(tables!$A$38&amp;"."&amp;tables!C51&amp;"."&amp;Année,ListeCours[clé_date],0),5),"")</f>
        <v/>
      </c>
      <c r="M52" s="49" t="str">
        <f>IFERROR(INDEX(ListeCours[],MATCH(tables!$A$38&amp;"."&amp;tables!C51&amp;"."&amp;Année,ListeCours[clé_date],0),6),"")</f>
        <v/>
      </c>
      <c r="N52" s="50" t="str">
        <f>IFERROR(INDEX(ListeCours[],MATCH(tables!$A$38&amp;"."&amp;tables!C51&amp;"."&amp;Année,ListeCours[clé_date],0),2),"")</f>
        <v/>
      </c>
      <c r="O52" s="156" t="str">
        <f>IFERROR(INDEX(ListeCours[],MATCH(tables!$A$38&amp;"."&amp;tables!C51&amp;"."&amp;Année,ListeCours[clé_date],0),16),"")</f>
        <v/>
      </c>
      <c r="P52" s="158" t="str">
        <f>IFERROR(INDEX(ListeCours[],MATCH(tables!$A$38&amp;"."&amp;tables!C51&amp;"."&amp;Année,ListeCours[clé_date],0),9),"")</f>
        <v/>
      </c>
      <c r="Q52" s="156"/>
      <c r="R52" s="156"/>
      <c r="T52" s="45" t="str">
        <f>IFERROR(INDEX(ListeCours[],MATCH(tables!$A$41&amp;"."&amp;tables!C51&amp;"."&amp;Année,ListeCours[clé_date],0),3),"")</f>
        <v/>
      </c>
      <c r="U52" s="49" t="str">
        <f>IFERROR(INDEX(ListeCours[],MATCH(tables!$A$41&amp;"."&amp;tables!C51&amp;"."&amp;Année,ListeCours[clé_date],0),5),"")</f>
        <v/>
      </c>
      <c r="V52" s="49" t="str">
        <f>IFERROR(INDEX(ListeCours[],MATCH(tables!$A$41&amp;"."&amp;tables!C51&amp;"."&amp;Année,ListeCours[clé_date],0),6),"")</f>
        <v/>
      </c>
      <c r="W52" s="50" t="str">
        <f>IFERROR(INDEX(ListeCours[],MATCH(tables!$A$41&amp;"."&amp;tables!C51&amp;"."&amp;Année,ListeCours[clé_date],0),2),"")</f>
        <v/>
      </c>
      <c r="X52" s="156" t="str">
        <f>IFERROR(INDEX(ListeCours[],MATCH(tables!$A$41&amp;"."&amp;tables!C51&amp;"."&amp;Année,ListeCours[clé_date],0),16),"")</f>
        <v/>
      </c>
      <c r="Y52" s="158" t="str">
        <f>IFERROR(INDEX(ListeCours[],MATCH(tables!$A$41&amp;"."&amp;tables!C51&amp;"."&amp;Année,ListeCours[clé_date],0),9),"")</f>
        <v/>
      </c>
      <c r="Z52" s="156"/>
      <c r="AA52" s="156"/>
      <c r="AC52" s="45" t="str">
        <f>IFERROR(INDEX(ListeCours[],MATCH(tables!$A$42&amp;"."&amp;tables!C51&amp;"."&amp;Année,ListeCours[clé_date],0),3),"")</f>
        <v/>
      </c>
      <c r="AD52" s="49" t="str">
        <f>IFERROR(INDEX(ListeCours[],MATCH(tables!$A$42&amp;"."&amp;tables!C51&amp;"."&amp;Année,ListeCours[clé_date],0),5),"")</f>
        <v/>
      </c>
      <c r="AE52" s="49" t="str">
        <f>IFERROR(INDEX(ListeCours[],MATCH(tables!$A$42&amp;"."&amp;tables!C51&amp;"."&amp;Année,ListeCours[clé_date],0),6),"")</f>
        <v/>
      </c>
      <c r="AF52" s="50" t="str">
        <f>IFERROR(INDEX(ListeCours[],MATCH(tables!$A$42&amp;"."&amp;tables!C51&amp;"."&amp;Année,ListeCours[clé_date],0),2),"")</f>
        <v/>
      </c>
      <c r="AG52" s="156" t="str">
        <f>IFERROR(INDEX(ListeCours[],MATCH(tables!$A$42&amp;"."&amp;tables!C51&amp;"."&amp;Année,ListeCours[clé_date],0),16),"")</f>
        <v/>
      </c>
      <c r="AH52" s="158" t="str">
        <f>IFERROR(INDEX(ListeCours[],MATCH(tables!$A$42&amp;"."&amp;tables!C51&amp;"."&amp;Année,ListeCours[clé_date],0),9),"")</f>
        <v/>
      </c>
      <c r="AI52" s="156"/>
      <c r="AJ52" s="156"/>
      <c r="AL52" s="45" t="str">
        <f>IFERROR(INDEX(ListeCours[],MATCH(tables!$A$45&amp;"."&amp;tables!C51&amp;"."&amp;Année,ListeCours[clé_date],0),3),"")</f>
        <v/>
      </c>
      <c r="AM52" s="49" t="str">
        <f>IFERROR(INDEX(ListeCours[],MATCH(tables!$A$45&amp;"."&amp;tables!C51&amp;"."&amp;Année,ListeCours[clé_date],0),5),"")</f>
        <v/>
      </c>
      <c r="AN52" s="49" t="str">
        <f>IFERROR(INDEX(ListeCours[],MATCH(tables!$A$45&amp;"."&amp;tables!C51&amp;"."&amp;Année,ListeCours[clé_date],0),6),"")</f>
        <v/>
      </c>
      <c r="AO52" s="50" t="str">
        <f>IFERROR(INDEX(ListeCours[],MATCH(tables!$A$45&amp;"."&amp;tables!C51&amp;"."&amp;Année,ListeCours[clé_date],0),2),"")</f>
        <v/>
      </c>
      <c r="AP52" s="156" t="str">
        <f>IFERROR(INDEX(ListeCours[],MATCH(tables!$A$45&amp;"."&amp;tables!C51&amp;"."&amp;Année,ListeCours[clé_date],0),16),"")</f>
        <v/>
      </c>
      <c r="AQ52" s="158" t="str">
        <f>IFERROR(INDEX(ListeCours[],MATCH(tables!$A$45&amp;"."&amp;tables!C51&amp;"."&amp;Année,ListeCours[clé_date],0),9),"")</f>
        <v/>
      </c>
      <c r="AR52" s="156"/>
      <c r="AS52" s="156"/>
      <c r="AU52" s="45" t="str">
        <f>IFERROR(INDEX(ListeCours[],MATCH(tables!$A$46&amp;"."&amp;tables!C51&amp;"."&amp;Année,ListeCours[clé_date],0),3),"")</f>
        <v/>
      </c>
      <c r="AV52" s="49" t="str">
        <f>IFERROR(INDEX(ListeCours[],MATCH(tables!$A$46&amp;"."&amp;tables!C51&amp;"."&amp;Année,ListeCours[clé_date],0),5),"")</f>
        <v/>
      </c>
      <c r="AW52" s="49" t="str">
        <f>IFERROR(INDEX(ListeCours[],MATCH(tables!$A$46&amp;"."&amp;tables!C51&amp;"."&amp;Année,ListeCours[clé_date],0),6),"")</f>
        <v/>
      </c>
      <c r="AX52" s="50" t="str">
        <f>IFERROR(INDEX(ListeCours[],MATCH(tables!$A$46&amp;"."&amp;tables!C51&amp;"."&amp;Année,ListeCours[clé_date],0),2),"")</f>
        <v/>
      </c>
      <c r="AY52" s="156" t="str">
        <f>IFERROR(INDEX(ListeCours[],MATCH(tables!$A$46&amp;"."&amp;tables!C51&amp;"."&amp;Année,ListeCours[clé_date],0),16),"")</f>
        <v/>
      </c>
      <c r="AZ52" s="158" t="str">
        <f>IFERROR(INDEX(ListeCours[],MATCH(tables!$A$46&amp;"."&amp;tables!C51&amp;"."&amp;Année,ListeCours[clé_date],0),9),"")</f>
        <v/>
      </c>
      <c r="BA52" s="156"/>
      <c r="BB52" s="156"/>
    </row>
    <row r="54" spans="2:54" x14ac:dyDescent="0.25">
      <c r="B54" s="34"/>
      <c r="C54" s="36" t="s">
        <v>202</v>
      </c>
      <c r="F54" s="53"/>
      <c r="G54" s="37" t="s">
        <v>209</v>
      </c>
      <c r="K54" s="7"/>
      <c r="L54" s="37" t="s">
        <v>201</v>
      </c>
      <c r="O54" s="52"/>
      <c r="P54" s="37" t="s">
        <v>208</v>
      </c>
      <c r="T54" s="34"/>
      <c r="U54" s="36" t="s">
        <v>202</v>
      </c>
      <c r="X54" s="53"/>
      <c r="Y54" s="37" t="s">
        <v>209</v>
      </c>
      <c r="AC54" s="7"/>
      <c r="AD54" s="37" t="s">
        <v>201</v>
      </c>
      <c r="AG54" s="52"/>
      <c r="AH54" s="37" t="s">
        <v>208</v>
      </c>
      <c r="AL54" s="34"/>
      <c r="AM54" s="36" t="s">
        <v>202</v>
      </c>
      <c r="AP54" s="53"/>
      <c r="AQ54" s="37" t="s">
        <v>209</v>
      </c>
      <c r="AU54" s="7"/>
      <c r="AV54" s="37" t="s">
        <v>201</v>
      </c>
      <c r="AY54" s="52"/>
      <c r="AZ54" s="37" t="s">
        <v>208</v>
      </c>
    </row>
  </sheetData>
  <sortState xmlns:xlrd2="http://schemas.microsoft.com/office/spreadsheetml/2017/richdata2" ref="AL36:AS52">
    <sortCondition ref="AL36:AL52"/>
  </sortState>
  <mergeCells count="12">
    <mergeCell ref="AZ18:BB18"/>
    <mergeCell ref="G18:I18"/>
    <mergeCell ref="AL1:AM1"/>
    <mergeCell ref="T1:U1"/>
    <mergeCell ref="B1:C1"/>
    <mergeCell ref="P18:R18"/>
    <mergeCell ref="Y18:AA18"/>
    <mergeCell ref="AH18:AJ18"/>
    <mergeCell ref="AQ18:AS18"/>
    <mergeCell ref="Q1:R1"/>
    <mergeCell ref="AI1:AJ1"/>
    <mergeCell ref="BA1:BB1"/>
  </mergeCells>
  <conditionalFormatting sqref="C3:H3">
    <cfRule type="expression" dxfId="72" priority="101" stopIfTrue="1">
      <formula>DAY(C3)&gt;8</formula>
    </cfRule>
  </conditionalFormatting>
  <conditionalFormatting sqref="C7:I9 C17:I17">
    <cfRule type="expression" dxfId="71" priority="100" stopIfTrue="1">
      <formula>AND(DAY(C7)&gt;=1,DAY(C7)&lt;=15)</formula>
    </cfRule>
  </conditionalFormatting>
  <conditionalFormatting sqref="C3:I9 C17:I17">
    <cfRule type="expression" dxfId="70" priority="98">
      <formula>TODAY()=C3</formula>
    </cfRule>
    <cfRule type="expression" dxfId="69" priority="99">
      <formula>VLOOKUP(C3,Fériés,1,FALSE)=C3</formula>
    </cfRule>
  </conditionalFormatting>
  <conditionalFormatting sqref="L3:Q3">
    <cfRule type="expression" dxfId="68" priority="71" stopIfTrue="1">
      <formula>DAY(L3)&gt;8</formula>
    </cfRule>
  </conditionalFormatting>
  <conditionalFormatting sqref="L7:R8">
    <cfRule type="expression" dxfId="67" priority="70" stopIfTrue="1">
      <formula>AND(DAY(L7)&gt;=1,DAY(L7)&lt;=15)</formula>
    </cfRule>
  </conditionalFormatting>
  <conditionalFormatting sqref="L3:R8">
    <cfRule type="expression" dxfId="66" priority="68">
      <formula>TODAY()=L3</formula>
    </cfRule>
    <cfRule type="expression" dxfId="65" priority="69">
      <formula>VLOOKUP(L3,Fériés,1,FALSE)=L3</formula>
    </cfRule>
  </conditionalFormatting>
  <conditionalFormatting sqref="C11:I16">
    <cfRule type="expression" dxfId="64" priority="63">
      <formula>TODAY()=C11</formula>
    </cfRule>
    <cfRule type="expression" dxfId="63" priority="64">
      <formula>VLOOKUP(C11,Fériés,1,FALSE)=C11</formula>
    </cfRule>
  </conditionalFormatting>
  <conditionalFormatting sqref="C11:H11">
    <cfRule type="expression" dxfId="62" priority="66" stopIfTrue="1">
      <formula>DAY(C11)&gt;8</formula>
    </cfRule>
  </conditionalFormatting>
  <conditionalFormatting sqref="C15:I16">
    <cfRule type="expression" dxfId="61" priority="65" stopIfTrue="1">
      <formula>AND(DAY(C15)&gt;=1,DAY(C15)&lt;=15)</formula>
    </cfRule>
  </conditionalFormatting>
  <conditionalFormatting sqref="L11:R16">
    <cfRule type="expression" dxfId="60" priority="58">
      <formula>TODAY()=L11</formula>
    </cfRule>
    <cfRule type="expression" dxfId="59" priority="59">
      <formula>VLOOKUP(L11,Fériés,1,FALSE)=L11</formula>
    </cfRule>
  </conditionalFormatting>
  <conditionalFormatting sqref="L11:Q11">
    <cfRule type="expression" dxfId="58" priority="61" stopIfTrue="1">
      <formula>DAY(L11)&gt;8</formula>
    </cfRule>
  </conditionalFormatting>
  <conditionalFormatting sqref="L15:R16">
    <cfRule type="expression" dxfId="57" priority="60" stopIfTrue="1">
      <formula>AND(DAY(L15)&gt;=1,DAY(L15)&lt;=15)</formula>
    </cfRule>
  </conditionalFormatting>
  <conditionalFormatting sqref="F19:G35 O19:R35">
    <cfRule type="cellIs" dxfId="56" priority="56" operator="equal">
      <formula>0</formula>
    </cfRule>
  </conditionalFormatting>
  <conditionalFormatting sqref="E19:E52 N19:N52">
    <cfRule type="beginsWith" dxfId="55" priority="55" operator="beginsWith" text="EV">
      <formula>LEFT(E19,LEN("EV"))="EV"</formula>
    </cfRule>
  </conditionalFormatting>
  <conditionalFormatting sqref="E19:E52 N19:N52">
    <cfRule type="beginsWith" dxfId="54" priority="54" operator="beginsWith" text="M">
      <formula>LEFT(E19,LEN("M"))="M"</formula>
    </cfRule>
  </conditionalFormatting>
  <conditionalFormatting sqref="E19:E52 N19:N52">
    <cfRule type="containsText" dxfId="53" priority="53" operator="containsText" text="M13">
      <formula>NOT(ISERROR(SEARCH("M13",E19)))</formula>
    </cfRule>
  </conditionalFormatting>
  <conditionalFormatting sqref="AO19:AO52 AX19:AX52">
    <cfRule type="containsText" dxfId="52" priority="11" operator="containsText" text="M13">
      <formula>NOT(ISERROR(SEARCH("M13",AO19)))</formula>
    </cfRule>
  </conditionalFormatting>
  <conditionalFormatting sqref="U3:Z3">
    <cfRule type="expression" dxfId="51" priority="51" stopIfTrue="1">
      <formula>DAY(U3)&gt;8</formula>
    </cfRule>
  </conditionalFormatting>
  <conditionalFormatting sqref="U7:AA9 U17:AA17">
    <cfRule type="expression" dxfId="50" priority="50" stopIfTrue="1">
      <formula>AND(DAY(U7)&gt;=1,DAY(U7)&lt;=15)</formula>
    </cfRule>
  </conditionalFormatting>
  <conditionalFormatting sqref="U3:AA9 U17:AA17">
    <cfRule type="expression" dxfId="49" priority="48">
      <formula>TODAY()=U3</formula>
    </cfRule>
    <cfRule type="expression" dxfId="48" priority="49">
      <formula>VLOOKUP(U3,Fériés,1,FALSE)=U3</formula>
    </cfRule>
  </conditionalFormatting>
  <conditionalFormatting sqref="AD3:AI3">
    <cfRule type="expression" dxfId="47" priority="47" stopIfTrue="1">
      <formula>DAY(AD3)&gt;8</formula>
    </cfRule>
  </conditionalFormatting>
  <conditionalFormatting sqref="AD7:AJ8">
    <cfRule type="expression" dxfId="46" priority="46" stopIfTrue="1">
      <formula>AND(DAY(AD7)&gt;=1,DAY(AD7)&lt;=15)</formula>
    </cfRule>
  </conditionalFormatting>
  <conditionalFormatting sqref="AD3:AJ8">
    <cfRule type="expression" dxfId="45" priority="44">
      <formula>TODAY()=AD3</formula>
    </cfRule>
    <cfRule type="expression" dxfId="44" priority="45">
      <formula>VLOOKUP(AD3,Fériés,1,FALSE)=AD3</formula>
    </cfRule>
  </conditionalFormatting>
  <conditionalFormatting sqref="U11:AA16">
    <cfRule type="expression" dxfId="43" priority="40">
      <formula>TODAY()=U11</formula>
    </cfRule>
    <cfRule type="expression" dxfId="42" priority="41">
      <formula>VLOOKUP(U11,Fériés,1,FALSE)=U11</formula>
    </cfRule>
  </conditionalFormatting>
  <conditionalFormatting sqref="U11:Z11">
    <cfRule type="expression" dxfId="41" priority="43" stopIfTrue="1">
      <formula>DAY(U11)&gt;8</formula>
    </cfRule>
  </conditionalFormatting>
  <conditionalFormatting sqref="U15:AA16">
    <cfRule type="expression" dxfId="40" priority="42" stopIfTrue="1">
      <formula>AND(DAY(U15)&gt;=1,DAY(U15)&lt;=15)</formula>
    </cfRule>
  </conditionalFormatting>
  <conditionalFormatting sqref="AD11:AJ16">
    <cfRule type="expression" dxfId="39" priority="36">
      <formula>TODAY()=AD11</formula>
    </cfRule>
    <cfRule type="expression" dxfId="38" priority="37">
      <formula>VLOOKUP(AD11,Fériés,1,FALSE)=AD11</formula>
    </cfRule>
  </conditionalFormatting>
  <conditionalFormatting sqref="AD11:AI11">
    <cfRule type="expression" dxfId="37" priority="39" stopIfTrue="1">
      <formula>DAY(AD11)&gt;8</formula>
    </cfRule>
  </conditionalFormatting>
  <conditionalFormatting sqref="AD15:AJ16">
    <cfRule type="expression" dxfId="36" priority="38" stopIfTrue="1">
      <formula>AND(DAY(AD15)&gt;=1,DAY(AD15)&lt;=15)</formula>
    </cfRule>
  </conditionalFormatting>
  <conditionalFormatting sqref="W19:W52 AF19:AF52">
    <cfRule type="beginsWith" dxfId="35" priority="34" operator="beginsWith" text="EV">
      <formula>LEFT(W19,LEN("EV"))="EV"</formula>
    </cfRule>
  </conditionalFormatting>
  <conditionalFormatting sqref="W19:W52 AF19:AF52">
    <cfRule type="beginsWith" dxfId="34" priority="33" operator="beginsWith" text="M">
      <formula>LEFT(W19,LEN("M"))="M"</formula>
    </cfRule>
  </conditionalFormatting>
  <conditionalFormatting sqref="W19:W52 AF19:AF52">
    <cfRule type="containsText" dxfId="33" priority="32" operator="containsText" text="M13">
      <formula>NOT(ISERROR(SEARCH("M13",W19)))</formula>
    </cfRule>
  </conditionalFormatting>
  <conditionalFormatting sqref="AM3:AR3">
    <cfRule type="expression" dxfId="32" priority="30" stopIfTrue="1">
      <formula>DAY(AM3)&gt;8</formula>
    </cfRule>
  </conditionalFormatting>
  <conditionalFormatting sqref="AM7:AS9 AM17:AS17">
    <cfRule type="expression" dxfId="31" priority="29" stopIfTrue="1">
      <formula>AND(DAY(AM7)&gt;=1,DAY(AM7)&lt;=15)</formula>
    </cfRule>
  </conditionalFormatting>
  <conditionalFormatting sqref="AM3:AS9 AM17:AS17">
    <cfRule type="expression" dxfId="30" priority="27">
      <formula>TODAY()=AM3</formula>
    </cfRule>
    <cfRule type="expression" dxfId="29" priority="28">
      <formula>VLOOKUP(AM3,Fériés,1,FALSE)=AM3</formula>
    </cfRule>
  </conditionalFormatting>
  <conditionalFormatting sqref="AV3:BA3">
    <cfRule type="expression" dxfId="28" priority="26" stopIfTrue="1">
      <formula>DAY(AV3)&gt;8</formula>
    </cfRule>
  </conditionalFormatting>
  <conditionalFormatting sqref="AV7:BB8">
    <cfRule type="expression" dxfId="27" priority="25" stopIfTrue="1">
      <formula>AND(DAY(AV7)&gt;=1,DAY(AV7)&lt;=15)</formula>
    </cfRule>
  </conditionalFormatting>
  <conditionalFormatting sqref="AV3:BB8">
    <cfRule type="expression" dxfId="26" priority="23">
      <formula>TODAY()=AV3</formula>
    </cfRule>
    <cfRule type="expression" dxfId="25" priority="24">
      <formula>VLOOKUP(AV3,Fériés,1,FALSE)=AV3</formula>
    </cfRule>
  </conditionalFormatting>
  <conditionalFormatting sqref="AM11:AS16">
    <cfRule type="expression" dxfId="24" priority="19">
      <formula>TODAY()=AM11</formula>
    </cfRule>
    <cfRule type="expression" dxfId="23" priority="20">
      <formula>VLOOKUP(AM11,Fériés,1,FALSE)=AM11</formula>
    </cfRule>
  </conditionalFormatting>
  <conditionalFormatting sqref="AM11:AR11">
    <cfRule type="expression" dxfId="22" priority="22" stopIfTrue="1">
      <formula>DAY(AM11)&gt;8</formula>
    </cfRule>
  </conditionalFormatting>
  <conditionalFormatting sqref="AM15:AS16">
    <cfRule type="expression" dxfId="21" priority="21" stopIfTrue="1">
      <formula>AND(DAY(AM15)&gt;=1,DAY(AM15)&lt;=15)</formula>
    </cfRule>
  </conditionalFormatting>
  <conditionalFormatting sqref="AV11:BB16">
    <cfRule type="expression" dxfId="20" priority="15">
      <formula>TODAY()=AV11</formula>
    </cfRule>
    <cfRule type="expression" dxfId="19" priority="16">
      <formula>VLOOKUP(AV11,Fériés,1,FALSE)=AV11</formula>
    </cfRule>
  </conditionalFormatting>
  <conditionalFormatting sqref="AV11:BA11">
    <cfRule type="expression" dxfId="18" priority="18" stopIfTrue="1">
      <formula>DAY(AV11)&gt;8</formula>
    </cfRule>
  </conditionalFormatting>
  <conditionalFormatting sqref="AV15:BB16">
    <cfRule type="expression" dxfId="17" priority="17" stopIfTrue="1">
      <formula>AND(DAY(AV15)&gt;=1,DAY(AV15)&lt;=15)</formula>
    </cfRule>
  </conditionalFormatting>
  <conditionalFormatting sqref="AO19:AO52 AX19:AX52">
    <cfRule type="beginsWith" dxfId="16" priority="13" operator="beginsWith" text="EV">
      <formula>LEFT(AO19,LEN("EV"))="EV"</formula>
    </cfRule>
  </conditionalFormatting>
  <conditionalFormatting sqref="AO19:AO52 AX19:AX52">
    <cfRule type="beginsWith" dxfId="15" priority="12" operator="beginsWith" text="M">
      <formula>LEFT(AO19,LEN("M"))="M"</formula>
    </cfRule>
  </conditionalFormatting>
  <conditionalFormatting sqref="X19:AA35">
    <cfRule type="cellIs" dxfId="14" priority="10" operator="equal">
      <formula>0</formula>
    </cfRule>
  </conditionalFormatting>
  <conditionalFormatting sqref="AG19:AJ35">
    <cfRule type="cellIs" dxfId="13" priority="9" operator="equal">
      <formula>0</formula>
    </cfRule>
  </conditionalFormatting>
  <conditionalFormatting sqref="AP19:AS35">
    <cfRule type="cellIs" dxfId="12" priority="8" operator="equal">
      <formula>0</formula>
    </cfRule>
  </conditionalFormatting>
  <conditionalFormatting sqref="AY19:BB35">
    <cfRule type="cellIs" dxfId="11" priority="7" operator="equal">
      <formula>0</formula>
    </cfRule>
  </conditionalFormatting>
  <conditionalFormatting sqref="F36:G52">
    <cfRule type="cellIs" dxfId="10" priority="6" operator="equal">
      <formula>0</formula>
    </cfRule>
  </conditionalFormatting>
  <conditionalFormatting sqref="O36:P52">
    <cfRule type="cellIs" dxfId="9" priority="5" operator="equal">
      <formula>0</formula>
    </cfRule>
  </conditionalFormatting>
  <conditionalFormatting sqref="X36:Y52">
    <cfRule type="cellIs" dxfId="8" priority="4" operator="equal">
      <formula>0</formula>
    </cfRule>
  </conditionalFormatting>
  <conditionalFormatting sqref="AG36:AH52">
    <cfRule type="cellIs" dxfId="7" priority="3" operator="equal">
      <formula>0</formula>
    </cfRule>
  </conditionalFormatting>
  <conditionalFormatting sqref="AP36:AQ52">
    <cfRule type="cellIs" dxfId="6" priority="2" operator="equal">
      <formula>0</formula>
    </cfRule>
  </conditionalFormatting>
  <conditionalFormatting sqref="AY36:AZ52">
    <cfRule type="cellIs" dxfId="5" priority="1" operator="equal">
      <formula>0</formula>
    </cfRule>
  </conditionalFormatting>
  <dataValidations count="2">
    <dataValidation allowBlank="1" showInputMessage="1" showErrorMessage="1" prompt="Le calendrier de janvier met automatiquement en surbrillance les entrées de la liste de cours pour le mois." sqref="B2 K2 B10 K10 T2 AC2 T10 AC10 AL2 AU2 AL10 AU10" xr:uid="{00000000-0002-0000-0100-000000000000}"/>
    <dataValidation allowBlank="1" showInputMessage="1" showErrorMessage="1" prompt="Entrez l’année dans cette cellule" sqref="B1 T1 AL1" xr:uid="{00000000-0002-0000-0100-000001000000}"/>
  </dataValidations>
  <printOptions horizontalCentered="1" verticalCentered="1"/>
  <pageMargins left="0.23622047244094491" right="0.23622047244094491" top="0" bottom="0" header="0" footer="0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2" id="{E8B102BA-3DFD-4360-9BEF-1FB2808F13C4}">
            <xm:f>VLOOKUP(C3,'Liste des cours'!$C:$C,1,FALSE)=C3</xm:f>
            <x14:dxf>
              <font>
                <b/>
                <i val="0"/>
                <color theme="1"/>
              </font>
              <fill>
                <patternFill patternType="solid">
                  <bgColor theme="4" tint="0.7999816888943144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C3:I9 L3:R8 C11:I17 L11:R16 U3:AA9 AD3:AJ8 U11:AA17 AD11:AJ16 AM3:AS9 AV3:BB8 AM11:AS17 AV11:BB16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2"/>
  <sheetViews>
    <sheetView zoomScaleNormal="100" workbookViewId="0">
      <selection activeCell="D15" sqref="D15"/>
    </sheetView>
  </sheetViews>
  <sheetFormatPr baseColWidth="10" defaultColWidth="5.42578125" defaultRowHeight="25.5" customHeight="1" x14ac:dyDescent="0.25"/>
  <cols>
    <col min="2" max="2" width="5.42578125" style="14"/>
    <col min="3" max="3" width="35.42578125" customWidth="1"/>
    <col min="4" max="4" width="5.85546875" style="9" customWidth="1"/>
    <col min="5" max="5" width="51.28515625" customWidth="1"/>
    <col min="6" max="6" width="20.85546875" customWidth="1"/>
    <col min="7" max="7" width="8.5703125" style="10" customWidth="1"/>
    <col min="8" max="8" width="20" customWidth="1"/>
    <col min="9" max="10" width="8.140625" style="10" customWidth="1"/>
    <col min="11" max="11" width="8.7109375" style="10" customWidth="1"/>
    <col min="12" max="12" width="6.7109375" style="15" customWidth="1"/>
    <col min="13" max="13" width="14.85546875" customWidth="1"/>
    <col min="15" max="15" width="5.42578125" style="39"/>
  </cols>
  <sheetData>
    <row r="1" spans="1:15" ht="25.5" customHeight="1" x14ac:dyDescent="0.25">
      <c r="B1" s="123" t="s">
        <v>307</v>
      </c>
      <c r="C1" s="122"/>
      <c r="D1" s="123">
        <f>'vue annuelle'!Année</f>
        <v>2023</v>
      </c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5" s="16" customFormat="1" ht="25.5" customHeight="1" x14ac:dyDescent="0.25">
      <c r="B2" s="204" t="s">
        <v>66</v>
      </c>
      <c r="C2" s="204"/>
      <c r="D2" s="204" t="s">
        <v>117</v>
      </c>
      <c r="E2" s="204"/>
      <c r="F2" s="204" t="s">
        <v>280</v>
      </c>
      <c r="G2" s="204"/>
      <c r="H2" s="204" t="s">
        <v>281</v>
      </c>
      <c r="I2" s="204"/>
      <c r="J2" s="205" t="s">
        <v>116</v>
      </c>
      <c r="K2" s="205"/>
      <c r="L2" s="77"/>
      <c r="M2" s="78"/>
      <c r="N2" s="78"/>
      <c r="O2" s="64"/>
    </row>
    <row r="3" spans="1:15" ht="25.5" customHeight="1" x14ac:dyDescent="0.25">
      <c r="A3" s="13"/>
      <c r="B3" s="194" t="s">
        <v>25</v>
      </c>
      <c r="C3" s="195" t="s">
        <v>68</v>
      </c>
      <c r="D3" s="67" t="s">
        <v>219</v>
      </c>
      <c r="E3" s="68" t="s">
        <v>98</v>
      </c>
      <c r="F3" s="121"/>
      <c r="G3" s="69">
        <v>0</v>
      </c>
      <c r="H3" s="121" t="s">
        <v>270</v>
      </c>
      <c r="I3" s="69">
        <v>0.45833333333333331</v>
      </c>
      <c r="J3" s="70">
        <f>G3+I3</f>
        <v>0.45833333333333331</v>
      </c>
      <c r="K3" s="193">
        <f>J3+J4</f>
        <v>0.875</v>
      </c>
      <c r="L3" s="66" t="s">
        <v>100</v>
      </c>
      <c r="M3" s="196" t="s">
        <v>381</v>
      </c>
      <c r="N3" s="192" t="s">
        <v>52</v>
      </c>
    </row>
    <row r="4" spans="1:15" ht="25.5" customHeight="1" x14ac:dyDescent="0.25">
      <c r="A4" s="13"/>
      <c r="B4" s="194"/>
      <c r="C4" s="195"/>
      <c r="D4" s="67" t="s">
        <v>220</v>
      </c>
      <c r="E4" s="68" t="s">
        <v>99</v>
      </c>
      <c r="F4" s="121"/>
      <c r="G4" s="69">
        <v>0</v>
      </c>
      <c r="H4" s="121" t="s">
        <v>270</v>
      </c>
      <c r="I4" s="69">
        <v>0.41666666666666669</v>
      </c>
      <c r="J4" s="70">
        <f t="shared" ref="J4:J9" si="0">G4+I4</f>
        <v>0.41666666666666669</v>
      </c>
      <c r="K4" s="193"/>
      <c r="L4" s="66" t="s">
        <v>102</v>
      </c>
      <c r="M4" s="196"/>
      <c r="N4" s="192"/>
    </row>
    <row r="5" spans="1:15" ht="25.5" customHeight="1" x14ac:dyDescent="0.25">
      <c r="A5" s="13"/>
      <c r="B5" s="194" t="s">
        <v>26</v>
      </c>
      <c r="C5" s="195" t="s">
        <v>69</v>
      </c>
      <c r="D5" s="67" t="s">
        <v>222</v>
      </c>
      <c r="E5" s="68" t="s">
        <v>103</v>
      </c>
      <c r="F5" s="159" t="s">
        <v>272</v>
      </c>
      <c r="G5" s="69">
        <v>0.41666666666666669</v>
      </c>
      <c r="H5" s="121"/>
      <c r="I5" s="69">
        <v>0</v>
      </c>
      <c r="J5" s="70">
        <f t="shared" si="0"/>
        <v>0.41666666666666669</v>
      </c>
      <c r="K5" s="193">
        <f>J5+J6</f>
        <v>0.875</v>
      </c>
      <c r="L5" s="66" t="s">
        <v>100</v>
      </c>
      <c r="M5" s="196"/>
      <c r="N5" s="192"/>
    </row>
    <row r="6" spans="1:15" ht="25.5" customHeight="1" x14ac:dyDescent="0.25">
      <c r="A6" s="13"/>
      <c r="B6" s="194"/>
      <c r="C6" s="195"/>
      <c r="D6" s="67" t="s">
        <v>223</v>
      </c>
      <c r="E6" s="68" t="s">
        <v>104</v>
      </c>
      <c r="F6" s="159" t="s">
        <v>310</v>
      </c>
      <c r="G6" s="69">
        <v>0.45833333333333331</v>
      </c>
      <c r="H6" s="121"/>
      <c r="I6" s="69">
        <v>0</v>
      </c>
      <c r="J6" s="70">
        <f t="shared" si="0"/>
        <v>0.45833333333333331</v>
      </c>
      <c r="K6" s="193"/>
      <c r="L6" s="66" t="s">
        <v>100</v>
      </c>
      <c r="M6" s="196"/>
      <c r="N6" s="192"/>
    </row>
    <row r="7" spans="1:15" ht="25.5" customHeight="1" x14ac:dyDescent="0.25">
      <c r="A7" s="13"/>
      <c r="B7" s="194" t="s">
        <v>27</v>
      </c>
      <c r="C7" s="195" t="s">
        <v>70</v>
      </c>
      <c r="D7" s="67" t="s">
        <v>224</v>
      </c>
      <c r="E7" s="71" t="s">
        <v>108</v>
      </c>
      <c r="F7" s="159" t="s">
        <v>273</v>
      </c>
      <c r="G7" s="69">
        <v>0.875</v>
      </c>
      <c r="H7" s="121"/>
      <c r="I7" s="69">
        <v>0</v>
      </c>
      <c r="J7" s="70">
        <f t="shared" si="0"/>
        <v>0.875</v>
      </c>
      <c r="K7" s="193">
        <f>SUM(J7:J9)</f>
        <v>2.0416666666666665</v>
      </c>
      <c r="L7" s="72" t="s">
        <v>170</v>
      </c>
      <c r="M7" s="196"/>
      <c r="N7" s="192"/>
    </row>
    <row r="8" spans="1:15" ht="25.5" customHeight="1" x14ac:dyDescent="0.25">
      <c r="A8" s="13"/>
      <c r="B8" s="194"/>
      <c r="C8" s="195"/>
      <c r="D8" s="67" t="s">
        <v>225</v>
      </c>
      <c r="E8" s="71" t="s">
        <v>107</v>
      </c>
      <c r="F8" s="159" t="s">
        <v>273</v>
      </c>
      <c r="G8" s="69">
        <v>0.875</v>
      </c>
      <c r="H8" s="121"/>
      <c r="I8" s="69">
        <v>0</v>
      </c>
      <c r="J8" s="70">
        <f t="shared" si="0"/>
        <v>0.875</v>
      </c>
      <c r="K8" s="193"/>
      <c r="L8" s="72" t="s">
        <v>371</v>
      </c>
      <c r="M8" s="196"/>
      <c r="N8" s="192"/>
    </row>
    <row r="9" spans="1:15" ht="25.5" customHeight="1" x14ac:dyDescent="0.25">
      <c r="A9" s="13"/>
      <c r="B9" s="194"/>
      <c r="C9" s="195"/>
      <c r="D9" s="67" t="s">
        <v>226</v>
      </c>
      <c r="E9" s="71" t="s">
        <v>109</v>
      </c>
      <c r="F9" s="159" t="s">
        <v>273</v>
      </c>
      <c r="G9" s="69">
        <v>0.29166666666666669</v>
      </c>
      <c r="H9" s="121"/>
      <c r="I9" s="69">
        <v>0</v>
      </c>
      <c r="J9" s="70">
        <f t="shared" si="0"/>
        <v>0.29166666666666669</v>
      </c>
      <c r="K9" s="193"/>
      <c r="L9" s="66" t="s">
        <v>101</v>
      </c>
      <c r="M9" s="196"/>
      <c r="N9" s="192"/>
    </row>
    <row r="10" spans="1:15" ht="25.5" customHeight="1" x14ac:dyDescent="0.25">
      <c r="A10" s="13"/>
      <c r="B10" s="194" t="s">
        <v>28</v>
      </c>
      <c r="C10" s="195" t="s">
        <v>71</v>
      </c>
      <c r="D10" s="67" t="s">
        <v>227</v>
      </c>
      <c r="E10" s="68" t="s">
        <v>112</v>
      </c>
      <c r="F10" s="121"/>
      <c r="G10" s="69">
        <v>0</v>
      </c>
      <c r="H10" s="121" t="s">
        <v>275</v>
      </c>
      <c r="I10" s="69">
        <v>0.29166666666666669</v>
      </c>
      <c r="J10" s="70">
        <f t="shared" ref="J10" si="1">G10+I10</f>
        <v>0.29166666666666669</v>
      </c>
      <c r="K10" s="193">
        <f>SUM(J10:J12)</f>
        <v>1.75</v>
      </c>
      <c r="L10" s="66" t="s">
        <v>119</v>
      </c>
      <c r="M10" s="196" t="s">
        <v>380</v>
      </c>
      <c r="N10" s="192" t="s">
        <v>53</v>
      </c>
    </row>
    <row r="11" spans="1:15" ht="25.5" customHeight="1" x14ac:dyDescent="0.25">
      <c r="A11" s="13"/>
      <c r="B11" s="194"/>
      <c r="C11" s="195"/>
      <c r="D11" s="67" t="s">
        <v>228</v>
      </c>
      <c r="E11" s="68" t="s">
        <v>114</v>
      </c>
      <c r="F11" s="121"/>
      <c r="G11" s="69">
        <v>0</v>
      </c>
      <c r="H11" s="121" t="s">
        <v>275</v>
      </c>
      <c r="I11" s="69">
        <v>0.875</v>
      </c>
      <c r="J11" s="70">
        <f t="shared" ref="J11:J12" si="2">G11+I11</f>
        <v>0.875</v>
      </c>
      <c r="K11" s="193"/>
      <c r="L11" s="66" t="s">
        <v>119</v>
      </c>
      <c r="M11" s="196"/>
      <c r="N11" s="192"/>
    </row>
    <row r="12" spans="1:15" ht="25.5" customHeight="1" x14ac:dyDescent="0.25">
      <c r="A12" s="13"/>
      <c r="B12" s="194"/>
      <c r="C12" s="195"/>
      <c r="D12" s="67" t="s">
        <v>251</v>
      </c>
      <c r="E12" s="68" t="s">
        <v>115</v>
      </c>
      <c r="F12" s="121"/>
      <c r="G12" s="69">
        <v>0</v>
      </c>
      <c r="H12" s="121" t="s">
        <v>275</v>
      </c>
      <c r="I12" s="69">
        <v>0.58333333333333337</v>
      </c>
      <c r="J12" s="70">
        <f t="shared" si="2"/>
        <v>0.58333333333333337</v>
      </c>
      <c r="K12" s="193"/>
      <c r="L12" s="66" t="s">
        <v>119</v>
      </c>
      <c r="M12" s="196"/>
      <c r="N12" s="192"/>
    </row>
    <row r="13" spans="1:15" ht="25.5" customHeight="1" x14ac:dyDescent="0.25">
      <c r="A13" s="13"/>
      <c r="B13" s="194" t="s">
        <v>29</v>
      </c>
      <c r="C13" s="195" t="s">
        <v>72</v>
      </c>
      <c r="D13" s="67" t="s">
        <v>229</v>
      </c>
      <c r="E13" s="68" t="s">
        <v>121</v>
      </c>
      <c r="F13" s="121" t="s">
        <v>272</v>
      </c>
      <c r="G13" s="69">
        <v>0.29166666666666669</v>
      </c>
      <c r="H13" s="121"/>
      <c r="I13" s="69">
        <v>0</v>
      </c>
      <c r="J13" s="70">
        <f t="shared" ref="J13" si="3">G13+I13</f>
        <v>0.29166666666666669</v>
      </c>
      <c r="K13" s="193">
        <f>SUM(J13:J16)</f>
        <v>1.75</v>
      </c>
      <c r="L13" s="66" t="s">
        <v>120</v>
      </c>
      <c r="M13" s="196"/>
      <c r="N13" s="192"/>
    </row>
    <row r="14" spans="1:15" ht="25.5" customHeight="1" x14ac:dyDescent="0.25">
      <c r="A14" s="13"/>
      <c r="B14" s="194"/>
      <c r="C14" s="195"/>
      <c r="D14" s="67" t="s">
        <v>230</v>
      </c>
      <c r="E14" s="68" t="s">
        <v>122</v>
      </c>
      <c r="F14" s="121" t="s">
        <v>272</v>
      </c>
      <c r="G14" s="69">
        <v>0.58333333333333337</v>
      </c>
      <c r="H14" s="121"/>
      <c r="I14" s="69">
        <v>0</v>
      </c>
      <c r="J14" s="70">
        <f t="shared" ref="J14:J35" si="4">G14+I14</f>
        <v>0.58333333333333337</v>
      </c>
      <c r="K14" s="193"/>
      <c r="L14" s="66" t="s">
        <v>120</v>
      </c>
      <c r="M14" s="196"/>
      <c r="N14" s="192"/>
    </row>
    <row r="15" spans="1:15" ht="25.5" customHeight="1" x14ac:dyDescent="0.25">
      <c r="A15" s="13"/>
      <c r="B15" s="194"/>
      <c r="C15" s="195"/>
      <c r="D15" s="67" t="s">
        <v>231</v>
      </c>
      <c r="E15" s="68" t="s">
        <v>123</v>
      </c>
      <c r="F15" s="121" t="s">
        <v>277</v>
      </c>
      <c r="G15" s="69">
        <v>0.16666666666666666</v>
      </c>
      <c r="H15" s="121"/>
      <c r="I15" s="69">
        <v>0</v>
      </c>
      <c r="J15" s="70">
        <f t="shared" si="4"/>
        <v>0.16666666666666666</v>
      </c>
      <c r="K15" s="193"/>
      <c r="L15" s="66" t="s">
        <v>120</v>
      </c>
      <c r="M15" s="196"/>
      <c r="N15" s="192"/>
    </row>
    <row r="16" spans="1:15" ht="25.5" customHeight="1" x14ac:dyDescent="0.25">
      <c r="A16" s="13"/>
      <c r="B16" s="194"/>
      <c r="C16" s="195"/>
      <c r="D16" s="67" t="s">
        <v>232</v>
      </c>
      <c r="E16" s="68" t="s">
        <v>124</v>
      </c>
      <c r="F16" s="121" t="s">
        <v>277</v>
      </c>
      <c r="G16" s="69">
        <v>0.70833333333333337</v>
      </c>
      <c r="H16" s="121"/>
      <c r="I16" s="69">
        <v>0</v>
      </c>
      <c r="J16" s="70">
        <f t="shared" si="4"/>
        <v>0.70833333333333337</v>
      </c>
      <c r="K16" s="193"/>
      <c r="L16" s="66" t="s">
        <v>130</v>
      </c>
      <c r="M16" s="196" t="s">
        <v>379</v>
      </c>
      <c r="N16" s="192" t="s">
        <v>54</v>
      </c>
    </row>
    <row r="17" spans="1:14" ht="25.5" customHeight="1" x14ac:dyDescent="0.25">
      <c r="A17" s="13"/>
      <c r="B17" s="194" t="s">
        <v>58</v>
      </c>
      <c r="C17" s="195" t="s">
        <v>73</v>
      </c>
      <c r="D17" s="67" t="s">
        <v>233</v>
      </c>
      <c r="E17" s="68" t="s">
        <v>126</v>
      </c>
      <c r="F17" s="121" t="s">
        <v>277</v>
      </c>
      <c r="G17" s="69">
        <v>0.58333333333333337</v>
      </c>
      <c r="H17" s="121"/>
      <c r="I17" s="69">
        <v>0</v>
      </c>
      <c r="J17" s="70">
        <f t="shared" si="4"/>
        <v>0.58333333333333337</v>
      </c>
      <c r="K17" s="193">
        <f>SUM(J17:J20)</f>
        <v>2.3333333333333335</v>
      </c>
      <c r="L17" s="66" t="s">
        <v>130</v>
      </c>
      <c r="M17" s="196"/>
      <c r="N17" s="192"/>
    </row>
    <row r="18" spans="1:14" ht="25.5" customHeight="1" x14ac:dyDescent="0.25">
      <c r="A18" s="13"/>
      <c r="B18" s="194"/>
      <c r="C18" s="195"/>
      <c r="D18" s="67" t="s">
        <v>234</v>
      </c>
      <c r="E18" s="71" t="s">
        <v>127</v>
      </c>
      <c r="F18" s="159" t="s">
        <v>278</v>
      </c>
      <c r="G18" s="69">
        <v>0.58333333333333337</v>
      </c>
      <c r="H18" s="121"/>
      <c r="I18" s="69">
        <v>0</v>
      </c>
      <c r="J18" s="70">
        <f t="shared" si="4"/>
        <v>0.58333333333333337</v>
      </c>
      <c r="K18" s="193"/>
      <c r="L18" s="66" t="s">
        <v>130</v>
      </c>
      <c r="M18" s="196"/>
      <c r="N18" s="192"/>
    </row>
    <row r="19" spans="1:14" ht="25.5" customHeight="1" x14ac:dyDescent="0.25">
      <c r="A19" s="13"/>
      <c r="B19" s="194"/>
      <c r="C19" s="195"/>
      <c r="D19" s="67" t="s">
        <v>235</v>
      </c>
      <c r="E19" s="68" t="s">
        <v>128</v>
      </c>
      <c r="F19" s="121"/>
      <c r="G19" s="69">
        <v>0</v>
      </c>
      <c r="H19" s="121" t="s">
        <v>276</v>
      </c>
      <c r="I19" s="69">
        <v>0.58333333333333337</v>
      </c>
      <c r="J19" s="70">
        <f t="shared" si="4"/>
        <v>0.58333333333333337</v>
      </c>
      <c r="K19" s="193"/>
      <c r="L19" s="66" t="s">
        <v>132</v>
      </c>
      <c r="M19" s="196"/>
      <c r="N19" s="192"/>
    </row>
    <row r="20" spans="1:14" ht="25.5" customHeight="1" x14ac:dyDescent="0.25">
      <c r="A20" s="13"/>
      <c r="B20" s="194"/>
      <c r="C20" s="195"/>
      <c r="D20" s="67" t="s">
        <v>236</v>
      </c>
      <c r="E20" s="68" t="s">
        <v>129</v>
      </c>
      <c r="F20" s="159" t="s">
        <v>273</v>
      </c>
      <c r="G20" s="69">
        <v>0.58333333333333337</v>
      </c>
      <c r="H20" s="121"/>
      <c r="I20" s="69">
        <v>0</v>
      </c>
      <c r="J20" s="70">
        <f t="shared" si="4"/>
        <v>0.58333333333333337</v>
      </c>
      <c r="K20" s="193"/>
      <c r="L20" s="66" t="s">
        <v>133</v>
      </c>
      <c r="M20" s="196"/>
      <c r="N20" s="192"/>
    </row>
    <row r="21" spans="1:14" ht="25.5" customHeight="1" x14ac:dyDescent="0.25">
      <c r="A21" s="13"/>
      <c r="B21" s="194" t="s">
        <v>59</v>
      </c>
      <c r="C21" s="195" t="s">
        <v>74</v>
      </c>
      <c r="D21" s="67" t="s">
        <v>237</v>
      </c>
      <c r="E21" s="68" t="s">
        <v>134</v>
      </c>
      <c r="F21" s="121"/>
      <c r="G21" s="69">
        <v>0</v>
      </c>
      <c r="H21" s="121" t="s">
        <v>276</v>
      </c>
      <c r="I21" s="69">
        <v>8.3333333333333329E-2</v>
      </c>
      <c r="J21" s="70">
        <f t="shared" si="4"/>
        <v>8.3333333333333329E-2</v>
      </c>
      <c r="K21" s="193">
        <f>SUM(J21:J24)</f>
        <v>1.4583333333333333</v>
      </c>
      <c r="L21" s="66" t="s">
        <v>131</v>
      </c>
      <c r="M21" s="196"/>
      <c r="N21" s="192"/>
    </row>
    <row r="22" spans="1:14" ht="25.5" customHeight="1" x14ac:dyDescent="0.25">
      <c r="A22" s="13"/>
      <c r="B22" s="194"/>
      <c r="C22" s="195"/>
      <c r="D22" s="67" t="s">
        <v>238</v>
      </c>
      <c r="E22" s="68" t="s">
        <v>135</v>
      </c>
      <c r="F22" s="121"/>
      <c r="G22" s="69">
        <v>0</v>
      </c>
      <c r="H22" s="121" t="s">
        <v>276</v>
      </c>
      <c r="I22" s="69">
        <v>0.54166666666666663</v>
      </c>
      <c r="J22" s="70">
        <f t="shared" si="4"/>
        <v>0.54166666666666663</v>
      </c>
      <c r="K22" s="193"/>
      <c r="L22" s="66" t="s">
        <v>125</v>
      </c>
      <c r="M22" s="196"/>
      <c r="N22" s="192"/>
    </row>
    <row r="23" spans="1:14" ht="25.5" customHeight="1" x14ac:dyDescent="0.25">
      <c r="A23" s="13"/>
      <c r="B23" s="194"/>
      <c r="C23" s="195"/>
      <c r="D23" s="67" t="s">
        <v>239</v>
      </c>
      <c r="E23" s="68" t="s">
        <v>136</v>
      </c>
      <c r="F23" s="121" t="s">
        <v>272</v>
      </c>
      <c r="G23" s="69">
        <v>0.5</v>
      </c>
      <c r="H23" s="121"/>
      <c r="I23" s="69">
        <v>0</v>
      </c>
      <c r="J23" s="70">
        <f t="shared" si="4"/>
        <v>0.5</v>
      </c>
      <c r="K23" s="193"/>
      <c r="L23" s="66" t="s">
        <v>131</v>
      </c>
      <c r="M23" s="196"/>
      <c r="N23" s="192"/>
    </row>
    <row r="24" spans="1:14" ht="25.5" customHeight="1" x14ac:dyDescent="0.25">
      <c r="A24" s="13"/>
      <c r="B24" s="194"/>
      <c r="C24" s="195"/>
      <c r="D24" s="67" t="s">
        <v>240</v>
      </c>
      <c r="E24" s="68" t="s">
        <v>137</v>
      </c>
      <c r="F24" s="121"/>
      <c r="G24" s="69">
        <v>0</v>
      </c>
      <c r="H24" s="121" t="s">
        <v>276</v>
      </c>
      <c r="I24" s="69">
        <v>0.33333333333333331</v>
      </c>
      <c r="J24" s="70">
        <f t="shared" si="4"/>
        <v>0.33333333333333331</v>
      </c>
      <c r="K24" s="193"/>
      <c r="L24" s="66" t="s">
        <v>131</v>
      </c>
      <c r="M24" s="196"/>
      <c r="N24" s="192"/>
    </row>
    <row r="25" spans="1:14" ht="25.5" customHeight="1" x14ac:dyDescent="0.25">
      <c r="A25" s="13"/>
      <c r="B25" s="194" t="s">
        <v>60</v>
      </c>
      <c r="C25" s="195" t="s">
        <v>75</v>
      </c>
      <c r="D25" s="67" t="s">
        <v>241</v>
      </c>
      <c r="E25" s="68" t="s">
        <v>138</v>
      </c>
      <c r="F25" s="121"/>
      <c r="G25" s="69">
        <v>0</v>
      </c>
      <c r="H25" s="121" t="s">
        <v>276</v>
      </c>
      <c r="I25" s="69">
        <v>0.29166666666666669</v>
      </c>
      <c r="J25" s="70">
        <f t="shared" si="4"/>
        <v>0.29166666666666669</v>
      </c>
      <c r="K25" s="193">
        <f>SUM(J25:J28)</f>
        <v>1.4583333333333335</v>
      </c>
      <c r="L25" s="66" t="s">
        <v>131</v>
      </c>
      <c r="M25" s="196"/>
      <c r="N25" s="192"/>
    </row>
    <row r="26" spans="1:14" ht="25.5" customHeight="1" x14ac:dyDescent="0.25">
      <c r="A26" s="13"/>
      <c r="B26" s="194"/>
      <c r="C26" s="195"/>
      <c r="D26" s="67" t="s">
        <v>242</v>
      </c>
      <c r="E26" s="68" t="s">
        <v>139</v>
      </c>
      <c r="F26" s="159" t="s">
        <v>341</v>
      </c>
      <c r="G26" s="69">
        <v>0.29166666666666669</v>
      </c>
      <c r="H26" s="121"/>
      <c r="I26" s="69">
        <v>0</v>
      </c>
      <c r="J26" s="70">
        <f t="shared" si="4"/>
        <v>0.29166666666666669</v>
      </c>
      <c r="K26" s="193"/>
      <c r="L26" s="66" t="s">
        <v>142</v>
      </c>
      <c r="M26" s="196"/>
      <c r="N26" s="192"/>
    </row>
    <row r="27" spans="1:14" ht="25.5" customHeight="1" x14ac:dyDescent="0.25">
      <c r="A27" s="13"/>
      <c r="B27" s="194"/>
      <c r="C27" s="195"/>
      <c r="D27" s="67" t="s">
        <v>243</v>
      </c>
      <c r="E27" s="68" t="s">
        <v>140</v>
      </c>
      <c r="F27" s="159" t="s">
        <v>341</v>
      </c>
      <c r="G27" s="69">
        <v>0.58333333333333337</v>
      </c>
      <c r="H27" s="121"/>
      <c r="I27" s="69">
        <v>0</v>
      </c>
      <c r="J27" s="70">
        <f t="shared" si="4"/>
        <v>0.58333333333333337</v>
      </c>
      <c r="K27" s="193"/>
      <c r="L27" s="66" t="s">
        <v>142</v>
      </c>
      <c r="M27" s="196"/>
      <c r="N27" s="192"/>
    </row>
    <row r="28" spans="1:14" ht="25.5" customHeight="1" x14ac:dyDescent="0.25">
      <c r="A28" s="13"/>
      <c r="B28" s="194"/>
      <c r="C28" s="195"/>
      <c r="D28" s="67" t="s">
        <v>244</v>
      </c>
      <c r="E28" s="68" t="s">
        <v>141</v>
      </c>
      <c r="F28" s="159" t="s">
        <v>341</v>
      </c>
      <c r="G28" s="69">
        <v>0.29166666666666669</v>
      </c>
      <c r="H28" s="121"/>
      <c r="I28" s="69">
        <v>0</v>
      </c>
      <c r="J28" s="70">
        <f t="shared" si="4"/>
        <v>0.29166666666666669</v>
      </c>
      <c r="K28" s="193"/>
      <c r="L28" s="66" t="s">
        <v>142</v>
      </c>
      <c r="M28" s="196"/>
      <c r="N28" s="192"/>
    </row>
    <row r="29" spans="1:14" ht="25.5" customHeight="1" x14ac:dyDescent="0.25">
      <c r="A29" s="13"/>
      <c r="B29" s="194" t="s">
        <v>61</v>
      </c>
      <c r="C29" s="195" t="s">
        <v>76</v>
      </c>
      <c r="D29" s="67" t="s">
        <v>245</v>
      </c>
      <c r="E29" s="68" t="s">
        <v>144</v>
      </c>
      <c r="F29" s="121"/>
      <c r="G29" s="69">
        <v>0</v>
      </c>
      <c r="H29" s="121" t="s">
        <v>279</v>
      </c>
      <c r="I29" s="69">
        <v>0.29166666666666669</v>
      </c>
      <c r="J29" s="70">
        <f t="shared" si="4"/>
        <v>0.29166666666666669</v>
      </c>
      <c r="K29" s="193">
        <f>SUM(J29:J32)</f>
        <v>1.1666666666666667</v>
      </c>
      <c r="L29" s="66" t="s">
        <v>110</v>
      </c>
      <c r="M29" s="196" t="s">
        <v>378</v>
      </c>
      <c r="N29" s="192" t="s">
        <v>55</v>
      </c>
    </row>
    <row r="30" spans="1:14" ht="25.5" customHeight="1" x14ac:dyDescent="0.25">
      <c r="A30" s="13"/>
      <c r="B30" s="194"/>
      <c r="C30" s="195"/>
      <c r="D30" s="67" t="s">
        <v>246</v>
      </c>
      <c r="E30" s="68" t="s">
        <v>145</v>
      </c>
      <c r="F30" s="121"/>
      <c r="G30" s="69">
        <v>0</v>
      </c>
      <c r="H30" s="121" t="s">
        <v>279</v>
      </c>
      <c r="I30" s="69">
        <v>0.29166666666666669</v>
      </c>
      <c r="J30" s="70">
        <f t="shared" si="4"/>
        <v>0.29166666666666669</v>
      </c>
      <c r="K30" s="193"/>
      <c r="L30" s="66" t="s">
        <v>118</v>
      </c>
      <c r="M30" s="196"/>
      <c r="N30" s="192"/>
    </row>
    <row r="31" spans="1:14" ht="25.5" customHeight="1" x14ac:dyDescent="0.25">
      <c r="A31" s="13"/>
      <c r="B31" s="194"/>
      <c r="C31" s="195"/>
      <c r="D31" s="67" t="s">
        <v>247</v>
      </c>
      <c r="E31" s="68" t="s">
        <v>146</v>
      </c>
      <c r="F31" s="121"/>
      <c r="G31" s="69">
        <v>0</v>
      </c>
      <c r="H31" s="121" t="s">
        <v>279</v>
      </c>
      <c r="I31" s="69">
        <v>0.29166666666666669</v>
      </c>
      <c r="J31" s="70">
        <f t="shared" si="4"/>
        <v>0.29166666666666669</v>
      </c>
      <c r="K31" s="193"/>
      <c r="L31" s="66" t="s">
        <v>110</v>
      </c>
      <c r="M31" s="196"/>
      <c r="N31" s="192"/>
    </row>
    <row r="32" spans="1:14" ht="25.5" customHeight="1" x14ac:dyDescent="0.25">
      <c r="A32" s="13"/>
      <c r="B32" s="194"/>
      <c r="C32" s="195"/>
      <c r="D32" s="67" t="s">
        <v>248</v>
      </c>
      <c r="E32" s="68" t="s">
        <v>147</v>
      </c>
      <c r="F32" s="121"/>
      <c r="G32" s="69">
        <v>0</v>
      </c>
      <c r="H32" s="121" t="s">
        <v>279</v>
      </c>
      <c r="I32" s="69">
        <v>0.29166666666666669</v>
      </c>
      <c r="J32" s="70">
        <f t="shared" si="4"/>
        <v>0.29166666666666669</v>
      </c>
      <c r="K32" s="193"/>
      <c r="L32" s="66" t="s">
        <v>118</v>
      </c>
      <c r="M32" s="196"/>
      <c r="N32" s="192"/>
    </row>
    <row r="33" spans="1:15" ht="25.5" customHeight="1" x14ac:dyDescent="0.25">
      <c r="A33" s="13"/>
      <c r="B33" s="97" t="s">
        <v>62</v>
      </c>
      <c r="C33" s="197" t="s">
        <v>77</v>
      </c>
      <c r="D33" s="67" t="s">
        <v>252</v>
      </c>
      <c r="E33" s="68" t="s">
        <v>176</v>
      </c>
      <c r="F33" s="121"/>
      <c r="G33" s="69">
        <v>0</v>
      </c>
      <c r="H33" s="121" t="s">
        <v>279</v>
      </c>
      <c r="I33" s="69">
        <v>0.5</v>
      </c>
      <c r="J33" s="70">
        <f t="shared" si="4"/>
        <v>0.5</v>
      </c>
      <c r="K33" s="193">
        <f>SUM(J33:J35)</f>
        <v>0.875</v>
      </c>
      <c r="L33" s="66" t="s">
        <v>133</v>
      </c>
      <c r="M33" s="196"/>
      <c r="N33" s="192"/>
    </row>
    <row r="34" spans="1:15" ht="25.5" customHeight="1" x14ac:dyDescent="0.25">
      <c r="A34" s="13"/>
      <c r="B34" s="97"/>
      <c r="C34" s="198"/>
      <c r="D34" s="67" t="s">
        <v>253</v>
      </c>
      <c r="E34" s="68" t="s">
        <v>175</v>
      </c>
      <c r="F34" s="121"/>
      <c r="G34" s="69">
        <v>0</v>
      </c>
      <c r="H34" s="121" t="s">
        <v>279</v>
      </c>
      <c r="I34" s="69">
        <v>0.25</v>
      </c>
      <c r="J34" s="70">
        <f t="shared" si="4"/>
        <v>0.25</v>
      </c>
      <c r="K34" s="193"/>
      <c r="L34" s="66" t="s">
        <v>133</v>
      </c>
      <c r="M34" s="196"/>
      <c r="N34" s="192"/>
    </row>
    <row r="35" spans="1:15" ht="25.5" customHeight="1" x14ac:dyDescent="0.25">
      <c r="A35" s="13"/>
      <c r="B35" s="97"/>
      <c r="C35" s="199"/>
      <c r="D35" s="67" t="s">
        <v>254</v>
      </c>
      <c r="E35" s="68" t="s">
        <v>174</v>
      </c>
      <c r="F35" s="121"/>
      <c r="G35" s="69">
        <v>0</v>
      </c>
      <c r="H35" s="121" t="s">
        <v>279</v>
      </c>
      <c r="I35" s="69">
        <v>0.125</v>
      </c>
      <c r="J35" s="70">
        <f t="shared" si="4"/>
        <v>0.125</v>
      </c>
      <c r="K35" s="193"/>
      <c r="L35" s="66" t="s">
        <v>133</v>
      </c>
      <c r="M35" s="196"/>
      <c r="N35" s="192"/>
    </row>
    <row r="36" spans="1:15" ht="25.5" customHeight="1" x14ac:dyDescent="0.25">
      <c r="A36" s="13"/>
      <c r="B36" s="97" t="s">
        <v>63</v>
      </c>
      <c r="C36" s="98" t="s">
        <v>78</v>
      </c>
      <c r="D36" s="67" t="s">
        <v>255</v>
      </c>
      <c r="E36" s="71" t="s">
        <v>78</v>
      </c>
      <c r="F36" s="121"/>
      <c r="G36" s="69">
        <v>0</v>
      </c>
      <c r="H36" s="121" t="s">
        <v>279</v>
      </c>
      <c r="I36" s="69">
        <v>0.29166666666666669</v>
      </c>
      <c r="J36" s="70">
        <f t="shared" ref="J36:J38" si="5">G36+I36</f>
        <v>0.29166666666666669</v>
      </c>
      <c r="K36" s="96">
        <f>J36</f>
        <v>0.29166666666666669</v>
      </c>
      <c r="L36" s="66" t="s">
        <v>118</v>
      </c>
      <c r="M36" s="196"/>
      <c r="N36" s="192"/>
    </row>
    <row r="37" spans="1:15" ht="25.5" customHeight="1" x14ac:dyDescent="0.25">
      <c r="A37" s="13"/>
      <c r="B37" s="194" t="s">
        <v>64</v>
      </c>
      <c r="C37" s="195" t="s">
        <v>79</v>
      </c>
      <c r="D37" s="67" t="s">
        <v>249</v>
      </c>
      <c r="E37" s="68" t="s">
        <v>148</v>
      </c>
      <c r="F37" s="159" t="s">
        <v>273</v>
      </c>
      <c r="G37" s="69">
        <v>0.58333333333333337</v>
      </c>
      <c r="H37" s="121"/>
      <c r="I37" s="69">
        <v>0</v>
      </c>
      <c r="J37" s="70">
        <f t="shared" si="5"/>
        <v>0.58333333333333337</v>
      </c>
      <c r="K37" s="193">
        <f>SUM(J37:J38)</f>
        <v>0.875</v>
      </c>
      <c r="L37" s="66" t="s">
        <v>133</v>
      </c>
      <c r="M37" s="196"/>
      <c r="N37" s="192"/>
    </row>
    <row r="38" spans="1:15" ht="25.5" customHeight="1" x14ac:dyDescent="0.25">
      <c r="A38" s="13"/>
      <c r="B38" s="194"/>
      <c r="C38" s="195"/>
      <c r="D38" s="67" t="s">
        <v>250</v>
      </c>
      <c r="E38" s="68" t="s">
        <v>149</v>
      </c>
      <c r="F38" s="159"/>
      <c r="G38" s="69">
        <v>0</v>
      </c>
      <c r="H38" s="121" t="s">
        <v>270</v>
      </c>
      <c r="I38" s="69">
        <v>0.29166666666666669</v>
      </c>
      <c r="J38" s="70">
        <f t="shared" si="5"/>
        <v>0.29166666666666669</v>
      </c>
      <c r="K38" s="193"/>
      <c r="L38" s="66" t="s">
        <v>150</v>
      </c>
      <c r="M38" s="196"/>
      <c r="N38" s="192"/>
    </row>
    <row r="39" spans="1:15" ht="25.5" customHeight="1" x14ac:dyDescent="0.25">
      <c r="A39" s="13"/>
      <c r="B39" s="97" t="s">
        <v>65</v>
      </c>
      <c r="C39" s="195" t="s">
        <v>80</v>
      </c>
      <c r="D39" s="195"/>
      <c r="E39" s="195"/>
      <c r="F39" s="121" t="s">
        <v>323</v>
      </c>
      <c r="G39" s="69">
        <v>1.25</v>
      </c>
      <c r="H39" s="159"/>
      <c r="I39" s="69">
        <v>0</v>
      </c>
      <c r="J39" s="70">
        <f t="shared" ref="J39:J41" si="6">G39+I39</f>
        <v>1.25</v>
      </c>
      <c r="K39" s="96">
        <f>J39</f>
        <v>1.25</v>
      </c>
      <c r="L39" s="200" t="s">
        <v>56</v>
      </c>
      <c r="M39" s="201"/>
      <c r="N39" s="202"/>
    </row>
    <row r="40" spans="1:15" ht="25.5" customHeight="1" x14ac:dyDescent="0.25">
      <c r="A40" s="13"/>
      <c r="B40" s="203" t="s">
        <v>282</v>
      </c>
      <c r="C40" s="203"/>
      <c r="D40" s="203"/>
      <c r="E40" s="203"/>
      <c r="F40" s="68"/>
      <c r="G40" s="69">
        <v>0.25</v>
      </c>
      <c r="H40" s="68"/>
      <c r="I40" s="69">
        <v>4.1666666666666664E-2</v>
      </c>
      <c r="J40" s="70">
        <f t="shared" si="6"/>
        <v>0.29166666666666669</v>
      </c>
      <c r="K40" s="96">
        <f>J40</f>
        <v>0.29166666666666669</v>
      </c>
      <c r="L40" s="74"/>
      <c r="M40" s="75"/>
      <c r="N40" s="76"/>
    </row>
    <row r="41" spans="1:15" ht="25.5" customHeight="1" x14ac:dyDescent="0.25">
      <c r="A41" s="13"/>
      <c r="B41" s="203" t="s">
        <v>152</v>
      </c>
      <c r="C41" s="203"/>
      <c r="D41" s="203"/>
      <c r="E41" s="203"/>
      <c r="F41" s="68"/>
      <c r="G41" s="69">
        <v>2.0833333333333332E-2</v>
      </c>
      <c r="H41" s="68"/>
      <c r="I41" s="69">
        <v>2.0833333333333332E-2</v>
      </c>
      <c r="J41" s="70">
        <f t="shared" si="6"/>
        <v>4.1666666666666664E-2</v>
      </c>
      <c r="K41" s="96">
        <f>J41</f>
        <v>4.1666666666666664E-2</v>
      </c>
      <c r="L41" s="74"/>
      <c r="M41" s="75"/>
      <c r="N41" s="76"/>
    </row>
    <row r="42" spans="1:15" s="17" customFormat="1" ht="25.5" customHeight="1" x14ac:dyDescent="0.25">
      <c r="B42" s="18"/>
      <c r="D42" s="19"/>
      <c r="F42" s="21">
        <f>G42/K42</f>
        <v>0.58774038461538458</v>
      </c>
      <c r="G42" s="73">
        <f>SUM(G3:G41)</f>
        <v>10.1875</v>
      </c>
      <c r="H42" s="21">
        <f>I42/K42</f>
        <v>0.41225961538461547</v>
      </c>
      <c r="I42" s="73">
        <f>SUM(I3:I41)</f>
        <v>7.1458333333333357</v>
      </c>
      <c r="J42" s="20"/>
      <c r="K42" s="73">
        <f>SUM(K3:K41)</f>
        <v>17.333333333333336</v>
      </c>
      <c r="L42" s="19"/>
      <c r="O42" s="65"/>
    </row>
  </sheetData>
  <sheetProtection selectLockedCells="1" autoFilter="0"/>
  <autoFilter ref="B2:N42" xr:uid="{00000000-0009-0000-0000-000002000000}">
    <filterColumn colId="0" showButton="0"/>
    <filterColumn colId="2" showButton="0"/>
    <filterColumn colId="4" showButton="0"/>
    <filterColumn colId="6" showButton="0"/>
    <filterColumn colId="8" showButton="0"/>
  </autoFilter>
  <mergeCells count="49">
    <mergeCell ref="B2:C2"/>
    <mergeCell ref="D2:E2"/>
    <mergeCell ref="M3:M9"/>
    <mergeCell ref="B5:B6"/>
    <mergeCell ref="C5:C6"/>
    <mergeCell ref="B7:B9"/>
    <mergeCell ref="C7:C9"/>
    <mergeCell ref="J2:K2"/>
    <mergeCell ref="B3:B4"/>
    <mergeCell ref="C3:C4"/>
    <mergeCell ref="F2:G2"/>
    <mergeCell ref="H2:I2"/>
    <mergeCell ref="K3:K4"/>
    <mergeCell ref="K5:K6"/>
    <mergeCell ref="K7:K9"/>
    <mergeCell ref="B41:E41"/>
    <mergeCell ref="B40:E40"/>
    <mergeCell ref="B21:B24"/>
    <mergeCell ref="C21:C24"/>
    <mergeCell ref="B17:B20"/>
    <mergeCell ref="C17:C20"/>
    <mergeCell ref="B25:B28"/>
    <mergeCell ref="C25:C28"/>
    <mergeCell ref="M29:M38"/>
    <mergeCell ref="N29:N38"/>
    <mergeCell ref="C39:E39"/>
    <mergeCell ref="B37:B38"/>
    <mergeCell ref="C37:C38"/>
    <mergeCell ref="B29:B32"/>
    <mergeCell ref="C29:C32"/>
    <mergeCell ref="K33:K35"/>
    <mergeCell ref="C33:C35"/>
    <mergeCell ref="K29:K32"/>
    <mergeCell ref="K37:K38"/>
    <mergeCell ref="L39:N39"/>
    <mergeCell ref="N3:N9"/>
    <mergeCell ref="K13:K16"/>
    <mergeCell ref="B13:B16"/>
    <mergeCell ref="K17:K20"/>
    <mergeCell ref="K21:K24"/>
    <mergeCell ref="N10:N15"/>
    <mergeCell ref="C13:C16"/>
    <mergeCell ref="B10:B12"/>
    <mergeCell ref="C10:C12"/>
    <mergeCell ref="N16:N28"/>
    <mergeCell ref="K25:K28"/>
    <mergeCell ref="M16:M28"/>
    <mergeCell ref="M10:M15"/>
    <mergeCell ref="K10:K12"/>
  </mergeCells>
  <dataValidations count="1">
    <dataValidation type="list" sqref="H3:H41 F3:F41" xr:uid="{00000000-0002-0000-0200-000000000000}">
      <formula1>FORMATEURS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54" orientation="landscape" r:id="rId1"/>
  <ignoredErrors>
    <ignoredError sqref="H4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A43"/>
  <sheetViews>
    <sheetView workbookViewId="0">
      <selection activeCell="A9" sqref="A9:XFD9"/>
    </sheetView>
  </sheetViews>
  <sheetFormatPr baseColWidth="10" defaultColWidth="4.5703125" defaultRowHeight="25.5" customHeight="1" x14ac:dyDescent="0.25"/>
  <cols>
    <col min="3" max="3" width="37.5703125" customWidth="1"/>
    <col min="4" max="4" width="22.85546875" customWidth="1"/>
    <col min="5" max="20" width="5.7109375" customWidth="1"/>
    <col min="21" max="21" width="9.85546875" customWidth="1"/>
    <col min="22" max="24" width="7.42578125" customWidth="1"/>
    <col min="27" max="27" width="5.5703125" bestFit="1" customWidth="1"/>
  </cols>
  <sheetData>
    <row r="1" spans="2:27" ht="25.5" customHeight="1" x14ac:dyDescent="0.25">
      <c r="B1" s="123" t="str">
        <f>CONCATENATE("VUE PROGRESSION TITRE 5 RUTL - ",'vue annuelle'!Année)</f>
        <v>VUE PROGRESSION TITRE 5 RUTL - 2023</v>
      </c>
      <c r="C1" s="123"/>
      <c r="D1" s="124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2:27" ht="7.5" customHeight="1" x14ac:dyDescent="0.25">
      <c r="I2" s="51"/>
      <c r="L2" s="51"/>
      <c r="Q2" s="51"/>
      <c r="U2" s="51"/>
    </row>
    <row r="3" spans="2:27" ht="25.5" customHeight="1" x14ac:dyDescent="0.25">
      <c r="E3" s="125">
        <v>44945</v>
      </c>
      <c r="F3" s="125"/>
      <c r="G3" s="125"/>
      <c r="H3" s="217" t="s">
        <v>258</v>
      </c>
      <c r="I3" s="217"/>
      <c r="J3" s="125"/>
      <c r="K3" s="217"/>
      <c r="L3" s="217"/>
      <c r="M3" s="125"/>
      <c r="N3" s="125"/>
      <c r="O3" s="125"/>
      <c r="P3" s="217" t="s">
        <v>261</v>
      </c>
      <c r="Q3" s="217"/>
      <c r="R3" s="125"/>
      <c r="S3" s="125"/>
      <c r="T3" s="126" t="s">
        <v>262</v>
      </c>
      <c r="U3" s="126">
        <v>45275</v>
      </c>
    </row>
    <row r="4" spans="2:27" ht="16.5" customHeight="1" x14ac:dyDescent="0.25">
      <c r="B4" s="208" t="s">
        <v>66</v>
      </c>
      <c r="C4" s="208"/>
      <c r="D4" s="209" t="s">
        <v>67</v>
      </c>
      <c r="E4" s="207" t="s">
        <v>52</v>
      </c>
      <c r="F4" s="208"/>
      <c r="G4" s="208"/>
      <c r="H4" s="209"/>
      <c r="I4" s="207" t="s">
        <v>53</v>
      </c>
      <c r="J4" s="208"/>
      <c r="K4" s="208"/>
      <c r="L4" s="207" t="s">
        <v>54</v>
      </c>
      <c r="M4" s="208"/>
      <c r="N4" s="208"/>
      <c r="O4" s="208"/>
      <c r="P4" s="208"/>
      <c r="Q4" s="207" t="s">
        <v>55</v>
      </c>
      <c r="R4" s="208"/>
      <c r="S4" s="208"/>
      <c r="T4" s="208"/>
      <c r="U4" s="183" t="s">
        <v>56</v>
      </c>
      <c r="V4" s="220" t="s">
        <v>50</v>
      </c>
      <c r="W4" s="206" t="s">
        <v>51</v>
      </c>
      <c r="X4" s="206" t="s">
        <v>221</v>
      </c>
    </row>
    <row r="5" spans="2:27" ht="33.75" customHeight="1" x14ac:dyDescent="0.25">
      <c r="B5" s="208"/>
      <c r="C5" s="208"/>
      <c r="D5" s="209"/>
      <c r="E5" s="183" t="s">
        <v>34</v>
      </c>
      <c r="F5" s="100" t="s">
        <v>35</v>
      </c>
      <c r="G5" s="100" t="s">
        <v>36</v>
      </c>
      <c r="H5" s="181" t="s">
        <v>37</v>
      </c>
      <c r="I5" s="183" t="s">
        <v>38</v>
      </c>
      <c r="J5" s="100" t="s">
        <v>39</v>
      </c>
      <c r="K5" s="181" t="s">
        <v>40</v>
      </c>
      <c r="L5" s="183" t="s">
        <v>41</v>
      </c>
      <c r="M5" s="100" t="s">
        <v>42</v>
      </c>
      <c r="N5" s="100" t="s">
        <v>43</v>
      </c>
      <c r="O5" s="100" t="s">
        <v>44</v>
      </c>
      <c r="P5" s="181" t="s">
        <v>45</v>
      </c>
      <c r="Q5" s="183" t="s">
        <v>46</v>
      </c>
      <c r="R5" s="100" t="s">
        <v>47</v>
      </c>
      <c r="S5" s="100" t="s">
        <v>48</v>
      </c>
      <c r="T5" s="181" t="s">
        <v>49</v>
      </c>
      <c r="U5" s="183" t="s">
        <v>57</v>
      </c>
      <c r="V5" s="220"/>
      <c r="W5" s="206"/>
      <c r="X5" s="206"/>
    </row>
    <row r="6" spans="2:27" ht="25.5" customHeight="1" x14ac:dyDescent="0.25">
      <c r="B6" s="218" t="s">
        <v>82</v>
      </c>
      <c r="C6" s="219"/>
      <c r="D6" s="219"/>
      <c r="E6" s="182" t="s">
        <v>185</v>
      </c>
      <c r="F6" s="26"/>
      <c r="G6" s="26"/>
      <c r="H6" s="180"/>
      <c r="I6" s="182"/>
      <c r="J6" s="26"/>
      <c r="K6" s="180"/>
      <c r="L6" s="182"/>
      <c r="M6" s="26"/>
      <c r="N6" s="26"/>
      <c r="O6" s="26"/>
      <c r="P6" s="180"/>
      <c r="Q6" s="182"/>
      <c r="R6" s="26"/>
      <c r="S6" s="26"/>
      <c r="T6" s="180"/>
      <c r="U6" s="182"/>
      <c r="V6" s="22">
        <v>2.0833333333333332E-2</v>
      </c>
      <c r="W6" s="27">
        <f>SUMIFS(ListeCours[VOL. HR],ListeCours[ID],"OUV*")</f>
        <v>2.083333333333337E-2</v>
      </c>
      <c r="X6" s="27" t="s">
        <v>327</v>
      </c>
    </row>
    <row r="7" spans="2:27" ht="25.5" customHeight="1" x14ac:dyDescent="0.25">
      <c r="B7" s="80" t="s">
        <v>25</v>
      </c>
      <c r="C7" s="23" t="s">
        <v>68</v>
      </c>
      <c r="D7" s="184" t="s">
        <v>106</v>
      </c>
      <c r="E7" s="182" t="s">
        <v>93</v>
      </c>
      <c r="F7" s="26"/>
      <c r="G7" s="26"/>
      <c r="H7" s="180" t="s">
        <v>94</v>
      </c>
      <c r="I7" s="182"/>
      <c r="J7" s="26"/>
      <c r="K7" s="180"/>
      <c r="L7" s="182"/>
      <c r="M7" s="26"/>
      <c r="N7" s="26"/>
      <c r="O7" s="26"/>
      <c r="P7" s="180"/>
      <c r="Q7" s="182"/>
      <c r="R7" s="26"/>
      <c r="S7" s="26"/>
      <c r="T7" s="180"/>
      <c r="U7" s="182"/>
      <c r="V7" s="22">
        <v>0.875</v>
      </c>
      <c r="W7" s="27">
        <f>SUMIFS(ListeCours[VOL. HR],ListeCours[ID],"M1.*")</f>
        <v>0.87500000000000022</v>
      </c>
      <c r="X7" s="27">
        <f>V7-W7</f>
        <v>0</v>
      </c>
    </row>
    <row r="8" spans="2:27" ht="25.5" customHeight="1" x14ac:dyDescent="0.25">
      <c r="B8" s="80" t="s">
        <v>26</v>
      </c>
      <c r="C8" s="23" t="s">
        <v>69</v>
      </c>
      <c r="D8" s="184" t="s">
        <v>105</v>
      </c>
      <c r="E8" s="182" t="s">
        <v>95</v>
      </c>
      <c r="F8" s="26"/>
      <c r="G8" s="26"/>
      <c r="H8" s="180"/>
      <c r="I8" s="182"/>
      <c r="J8" s="26"/>
      <c r="K8" s="180"/>
      <c r="L8" s="182"/>
      <c r="M8" s="26"/>
      <c r="N8" s="26"/>
      <c r="O8" s="26"/>
      <c r="P8" s="180"/>
      <c r="Q8" s="182"/>
      <c r="R8" s="26"/>
      <c r="S8" s="26"/>
      <c r="T8" s="180"/>
      <c r="U8" s="182"/>
      <c r="V8" s="22">
        <v>0.875</v>
      </c>
      <c r="W8" s="27">
        <f>SUMIFS(ListeCours[VOL. HR],ListeCours[ID],"M2.*")</f>
        <v>0.87500000000000022</v>
      </c>
      <c r="X8" s="27">
        <f t="shared" ref="X8:X20" si="0">V8-W8</f>
        <v>0</v>
      </c>
      <c r="AA8" s="10"/>
    </row>
    <row r="9" spans="2:27" ht="25.5" customHeight="1" x14ac:dyDescent="0.25">
      <c r="B9" s="80" t="s">
        <v>27</v>
      </c>
      <c r="C9" s="23" t="s">
        <v>70</v>
      </c>
      <c r="D9" s="184" t="s">
        <v>313</v>
      </c>
      <c r="E9" s="182"/>
      <c r="F9" s="26" t="s">
        <v>372</v>
      </c>
      <c r="G9" s="26" t="s">
        <v>93</v>
      </c>
      <c r="H9" s="180"/>
      <c r="I9" s="182"/>
      <c r="J9" s="26" t="s">
        <v>94</v>
      </c>
      <c r="K9" s="180"/>
      <c r="L9" s="182"/>
      <c r="M9" s="26"/>
      <c r="N9" s="26"/>
      <c r="O9" s="26"/>
      <c r="P9" s="180"/>
      <c r="Q9" s="182"/>
      <c r="R9" s="26"/>
      <c r="S9" s="26"/>
      <c r="T9" s="180"/>
      <c r="U9" s="182"/>
      <c r="V9" s="22">
        <v>2.0416666666666665</v>
      </c>
      <c r="W9" s="27">
        <f>SUMIFS(ListeCours[VOL. HR],ListeCours[ID],"M3.*")</f>
        <v>2.041666666666667</v>
      </c>
      <c r="X9" s="27">
        <f t="shared" si="0"/>
        <v>0</v>
      </c>
    </row>
    <row r="10" spans="2:27" ht="25.5" customHeight="1" x14ac:dyDescent="0.25">
      <c r="B10" s="80" t="s">
        <v>28</v>
      </c>
      <c r="C10" s="23" t="s">
        <v>71</v>
      </c>
      <c r="D10" s="184" t="s">
        <v>113</v>
      </c>
      <c r="E10" s="182"/>
      <c r="F10" s="26"/>
      <c r="G10" s="26"/>
      <c r="H10" s="180"/>
      <c r="I10" s="182" t="s">
        <v>373</v>
      </c>
      <c r="J10" s="26"/>
      <c r="K10" s="180"/>
      <c r="L10" s="182"/>
      <c r="M10" s="26"/>
      <c r="N10" s="26"/>
      <c r="O10" s="26"/>
      <c r="P10" s="180"/>
      <c r="Q10" s="182"/>
      <c r="R10" s="26"/>
      <c r="S10" s="26"/>
      <c r="T10" s="180"/>
      <c r="U10" s="182"/>
      <c r="V10" s="22">
        <v>1.75</v>
      </c>
      <c r="W10" s="27">
        <f>SUMIFS(ListeCours[VOL. HR],ListeCours[ID],"M4.*")</f>
        <v>1.7500000000000002</v>
      </c>
      <c r="X10" s="27">
        <f t="shared" si="0"/>
        <v>0</v>
      </c>
    </row>
    <row r="11" spans="2:27" ht="25.5" customHeight="1" x14ac:dyDescent="0.25">
      <c r="B11" s="80" t="s">
        <v>29</v>
      </c>
      <c r="C11" s="23" t="s">
        <v>72</v>
      </c>
      <c r="D11" s="184" t="s">
        <v>181</v>
      </c>
      <c r="E11" s="182"/>
      <c r="F11" s="26"/>
      <c r="G11" s="26"/>
      <c r="H11" s="180"/>
      <c r="I11" s="182"/>
      <c r="J11" s="26"/>
      <c r="K11" s="180" t="s">
        <v>97</v>
      </c>
      <c r="L11" s="182" t="s">
        <v>111</v>
      </c>
      <c r="M11" s="26"/>
      <c r="N11" s="26"/>
      <c r="O11" s="26"/>
      <c r="P11" s="180"/>
      <c r="Q11" s="182"/>
      <c r="R11" s="26"/>
      <c r="S11" s="26"/>
      <c r="T11" s="180"/>
      <c r="U11" s="182"/>
      <c r="V11" s="22">
        <v>1.75</v>
      </c>
      <c r="W11" s="27">
        <f>SUMIFS(ListeCours[VOL. HR],ListeCours[ID],"M5.*")</f>
        <v>1.75</v>
      </c>
      <c r="X11" s="27">
        <f t="shared" si="0"/>
        <v>0</v>
      </c>
    </row>
    <row r="12" spans="2:27" ht="25.5" customHeight="1" x14ac:dyDescent="0.25">
      <c r="B12" s="80" t="s">
        <v>58</v>
      </c>
      <c r="C12" s="23" t="s">
        <v>73</v>
      </c>
      <c r="D12" s="185" t="s">
        <v>182</v>
      </c>
      <c r="E12" s="182"/>
      <c r="F12" s="26"/>
      <c r="G12" s="26"/>
      <c r="H12" s="180"/>
      <c r="I12" s="182"/>
      <c r="J12" s="26"/>
      <c r="K12" s="180"/>
      <c r="L12" s="182" t="s">
        <v>95</v>
      </c>
      <c r="M12" s="26"/>
      <c r="N12" s="26"/>
      <c r="O12" s="26" t="s">
        <v>96</v>
      </c>
      <c r="P12" s="180"/>
      <c r="Q12" s="182"/>
      <c r="R12" s="26"/>
      <c r="S12" s="26" t="s">
        <v>111</v>
      </c>
      <c r="T12" s="180"/>
      <c r="U12" s="182"/>
      <c r="V12" s="22">
        <v>2.3333333333333335</v>
      </c>
      <c r="W12" s="27">
        <f>SUMIFS(ListeCours[VOL. HR],ListeCours[ID],"M6.*")</f>
        <v>2.3333333333333335</v>
      </c>
      <c r="X12" s="27">
        <f t="shared" si="0"/>
        <v>0</v>
      </c>
    </row>
    <row r="13" spans="2:27" ht="25.5" customHeight="1" x14ac:dyDescent="0.25">
      <c r="B13" s="80" t="s">
        <v>59</v>
      </c>
      <c r="C13" s="23" t="s">
        <v>74</v>
      </c>
      <c r="D13" s="184" t="s">
        <v>183</v>
      </c>
      <c r="E13" s="182"/>
      <c r="F13" s="26"/>
      <c r="G13" s="26"/>
      <c r="H13" s="180"/>
      <c r="I13" s="182"/>
      <c r="J13" s="26"/>
      <c r="K13" s="180"/>
      <c r="L13" s="182"/>
      <c r="M13" s="26" t="s">
        <v>94</v>
      </c>
      <c r="N13" s="26" t="s">
        <v>171</v>
      </c>
      <c r="O13" s="26"/>
      <c r="P13" s="180"/>
      <c r="Q13" s="182"/>
      <c r="R13" s="26"/>
      <c r="S13" s="26"/>
      <c r="T13" s="180"/>
      <c r="U13" s="182"/>
      <c r="V13" s="22">
        <v>1.4583333333333333</v>
      </c>
      <c r="W13" s="27">
        <f>SUMIFS(ListeCours[VOL. HR],ListeCours[ID],"M7.*")</f>
        <v>1.4583333333333335</v>
      </c>
      <c r="X13" s="27">
        <f t="shared" si="0"/>
        <v>0</v>
      </c>
    </row>
    <row r="14" spans="2:27" ht="25.5" customHeight="1" x14ac:dyDescent="0.25">
      <c r="B14" s="80" t="s">
        <v>60</v>
      </c>
      <c r="C14" s="23" t="s">
        <v>75</v>
      </c>
      <c r="D14" s="186" t="s">
        <v>340</v>
      </c>
      <c r="E14" s="182"/>
      <c r="F14" s="26"/>
      <c r="G14" s="26"/>
      <c r="H14" s="180"/>
      <c r="I14" s="182"/>
      <c r="J14" s="26"/>
      <c r="K14" s="180"/>
      <c r="L14" s="182"/>
      <c r="M14" s="26"/>
      <c r="N14" s="26" t="s">
        <v>93</v>
      </c>
      <c r="O14" s="26"/>
      <c r="P14" s="180" t="s">
        <v>172</v>
      </c>
      <c r="Q14" s="182"/>
      <c r="R14" s="26"/>
      <c r="S14" s="26"/>
      <c r="T14" s="180"/>
      <c r="U14" s="182"/>
      <c r="V14" s="22">
        <v>1.4583333333333333</v>
      </c>
      <c r="W14" s="27">
        <f>SUMIFS(ListeCours[VOL. HR],ListeCours[ID],"M8.*")</f>
        <v>1.4583333333333337</v>
      </c>
      <c r="X14" s="27">
        <f t="shared" si="0"/>
        <v>0</v>
      </c>
    </row>
    <row r="15" spans="2:27" ht="25.5" customHeight="1" x14ac:dyDescent="0.25">
      <c r="B15" s="80" t="s">
        <v>61</v>
      </c>
      <c r="C15" s="23" t="s">
        <v>76</v>
      </c>
      <c r="D15" s="184" t="s">
        <v>143</v>
      </c>
      <c r="E15" s="182"/>
      <c r="F15" s="26"/>
      <c r="G15" s="26"/>
      <c r="H15" s="180"/>
      <c r="I15" s="182"/>
      <c r="J15" s="26"/>
      <c r="K15" s="180"/>
      <c r="L15" s="182"/>
      <c r="M15" s="26"/>
      <c r="N15" s="26"/>
      <c r="O15" s="26"/>
      <c r="P15" s="180"/>
      <c r="Q15" s="182" t="s">
        <v>169</v>
      </c>
      <c r="R15" s="26" t="s">
        <v>173</v>
      </c>
      <c r="S15" s="26"/>
      <c r="T15" s="180"/>
      <c r="U15" s="182"/>
      <c r="V15" s="22">
        <v>1.1666666666666667</v>
      </c>
      <c r="W15" s="27">
        <f>SUMIFS(ListeCours[VOL. HR],ListeCours[ID],"M9*")</f>
        <v>1.166666666666667</v>
      </c>
      <c r="X15" s="27">
        <f t="shared" si="0"/>
        <v>0</v>
      </c>
    </row>
    <row r="16" spans="2:27" ht="25.5" customHeight="1" x14ac:dyDescent="0.25">
      <c r="B16" s="80" t="s">
        <v>62</v>
      </c>
      <c r="C16" s="23" t="s">
        <v>77</v>
      </c>
      <c r="D16" s="184" t="s">
        <v>143</v>
      </c>
      <c r="E16" s="182"/>
      <c r="F16" s="26"/>
      <c r="G16" s="26"/>
      <c r="H16" s="180"/>
      <c r="I16" s="182"/>
      <c r="J16" s="26"/>
      <c r="K16" s="180"/>
      <c r="L16" s="182"/>
      <c r="M16" s="26"/>
      <c r="N16" s="26"/>
      <c r="O16" s="26"/>
      <c r="P16" s="180"/>
      <c r="Q16" s="182"/>
      <c r="R16" s="26"/>
      <c r="S16" s="26" t="s">
        <v>97</v>
      </c>
      <c r="T16" s="180"/>
      <c r="U16" s="182"/>
      <c r="V16" s="22">
        <v>0.875</v>
      </c>
      <c r="W16" s="27">
        <f>SUMIFS(ListeCours[VOL. HR],ListeCours[ID],"M10*")</f>
        <v>0.87500000000000044</v>
      </c>
      <c r="X16" s="27">
        <f t="shared" si="0"/>
        <v>0</v>
      </c>
    </row>
    <row r="17" spans="2:24" ht="25.5" customHeight="1" x14ac:dyDescent="0.25">
      <c r="B17" s="80" t="s">
        <v>63</v>
      </c>
      <c r="C17" s="23" t="s">
        <v>78</v>
      </c>
      <c r="D17" s="184" t="s">
        <v>143</v>
      </c>
      <c r="E17" s="182"/>
      <c r="F17" s="26"/>
      <c r="G17" s="26"/>
      <c r="H17" s="180"/>
      <c r="I17" s="182"/>
      <c r="J17" s="26"/>
      <c r="K17" s="180"/>
      <c r="L17" s="182"/>
      <c r="M17" s="26"/>
      <c r="N17" s="26"/>
      <c r="O17" s="26"/>
      <c r="P17" s="180"/>
      <c r="Q17" s="182"/>
      <c r="R17" s="26" t="s">
        <v>93</v>
      </c>
      <c r="S17" s="26"/>
      <c r="T17" s="180"/>
      <c r="U17" s="182"/>
      <c r="V17" s="22">
        <v>0.29166666666666669</v>
      </c>
      <c r="W17" s="27">
        <f>SUMIFS(ListeCours[VOL. HR],ListeCours[ID],"M11*")</f>
        <v>0.29166666666666669</v>
      </c>
      <c r="X17" s="27">
        <f t="shared" si="0"/>
        <v>0</v>
      </c>
    </row>
    <row r="18" spans="2:24" ht="25.5" customHeight="1" x14ac:dyDescent="0.25">
      <c r="B18" s="80" t="s">
        <v>64</v>
      </c>
      <c r="C18" s="23" t="s">
        <v>79</v>
      </c>
      <c r="D18" s="184" t="s">
        <v>345</v>
      </c>
      <c r="E18" s="182"/>
      <c r="F18" s="26"/>
      <c r="G18" s="26"/>
      <c r="H18" s="180"/>
      <c r="I18" s="182"/>
      <c r="J18" s="26"/>
      <c r="K18" s="180"/>
      <c r="L18" s="182"/>
      <c r="M18" s="26"/>
      <c r="N18" s="26"/>
      <c r="O18" s="26"/>
      <c r="P18" s="180"/>
      <c r="Q18" s="182"/>
      <c r="R18" s="26"/>
      <c r="S18" s="26" t="s">
        <v>93</v>
      </c>
      <c r="T18" s="180" t="s">
        <v>94</v>
      </c>
      <c r="U18" s="182"/>
      <c r="V18" s="22">
        <v>0.875</v>
      </c>
      <c r="W18" s="27">
        <f>SUMIFS(ListeCours[VOL. HR],ListeCours[ID],"M12.*")</f>
        <v>0.875</v>
      </c>
      <c r="X18" s="27">
        <f t="shared" si="0"/>
        <v>0</v>
      </c>
    </row>
    <row r="19" spans="2:24" ht="25.5" customHeight="1" x14ac:dyDescent="0.25">
      <c r="B19" s="80" t="s">
        <v>65</v>
      </c>
      <c r="C19" s="23" t="s">
        <v>80</v>
      </c>
      <c r="D19" s="127" t="s">
        <v>151</v>
      </c>
      <c r="E19" s="211" t="s">
        <v>284</v>
      </c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182"/>
      <c r="V19" s="22">
        <v>1.25</v>
      </c>
      <c r="W19" s="27">
        <f>SUMIFS(ListeCours[VOL. HR],ListeCours[ID],"M13")</f>
        <v>1.2500000000000002</v>
      </c>
      <c r="X19" s="27">
        <f t="shared" si="0"/>
        <v>0</v>
      </c>
    </row>
    <row r="20" spans="2:24" ht="25.5" customHeight="1" x14ac:dyDescent="0.25">
      <c r="B20" s="213" t="s">
        <v>81</v>
      </c>
      <c r="C20" s="214"/>
      <c r="D20" s="214"/>
      <c r="E20" s="182"/>
      <c r="F20" s="26"/>
      <c r="G20" s="26"/>
      <c r="H20" s="180" t="s">
        <v>177</v>
      </c>
      <c r="I20" s="182"/>
      <c r="J20" s="26"/>
      <c r="K20" s="180" t="s">
        <v>178</v>
      </c>
      <c r="L20" s="182"/>
      <c r="M20" s="26"/>
      <c r="N20" s="26"/>
      <c r="O20" s="26"/>
      <c r="P20" s="180" t="s">
        <v>179</v>
      </c>
      <c r="Q20" s="182"/>
      <c r="R20" s="26"/>
      <c r="S20" s="26"/>
      <c r="T20" s="180" t="s">
        <v>180</v>
      </c>
      <c r="U20" s="182" t="s">
        <v>264</v>
      </c>
      <c r="V20" s="22">
        <v>0.29166666666666669</v>
      </c>
      <c r="W20" s="27">
        <f>SUMIFS(ListeCours[VOL. HR],ListeCours[ID],"EV*")</f>
        <v>0.35416666666666669</v>
      </c>
      <c r="X20" s="27">
        <f t="shared" si="0"/>
        <v>-6.25E-2</v>
      </c>
    </row>
    <row r="21" spans="2:24" ht="25.5" customHeight="1" x14ac:dyDescent="0.25">
      <c r="B21" s="213" t="s">
        <v>83</v>
      </c>
      <c r="C21" s="214"/>
      <c r="D21" s="214"/>
      <c r="E21" s="182"/>
      <c r="F21" s="26"/>
      <c r="G21" s="26"/>
      <c r="H21" s="180"/>
      <c r="I21" s="182"/>
      <c r="J21" s="26"/>
      <c r="K21" s="180"/>
      <c r="L21" s="182"/>
      <c r="M21" s="26"/>
      <c r="N21" s="26"/>
      <c r="O21" s="26"/>
      <c r="P21" s="180"/>
      <c r="Q21" s="182"/>
      <c r="R21" s="26"/>
      <c r="S21" s="26"/>
      <c r="T21" s="180" t="s">
        <v>184</v>
      </c>
      <c r="U21" s="182"/>
      <c r="V21" s="24">
        <v>2.0833333333333332E-2</v>
      </c>
      <c r="W21" s="27">
        <f>SUMIFS(ListeCours[VOL. HR],ListeCours[ID],"BIL*")</f>
        <v>2.083333333333337E-2</v>
      </c>
      <c r="X21" s="27" t="s">
        <v>327</v>
      </c>
    </row>
    <row r="22" spans="2:24" ht="25.5" customHeight="1" x14ac:dyDescent="0.25">
      <c r="B22" s="11"/>
      <c r="C22" s="11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25">
        <f>SUM(V6:V21)</f>
        <v>17.333333333333336</v>
      </c>
      <c r="W22" s="28">
        <f t="shared" ref="W22:X22" si="1">SUM(W6:W21)</f>
        <v>17.395833333333336</v>
      </c>
      <c r="X22" s="28">
        <f t="shared" si="1"/>
        <v>-6.25E-2</v>
      </c>
    </row>
    <row r="23" spans="2:24" ht="25.5" customHeight="1" x14ac:dyDescent="0.25">
      <c r="B23" s="216" t="s">
        <v>283</v>
      </c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</row>
    <row r="24" spans="2:24" ht="25.5" customHeight="1" x14ac:dyDescent="0.25">
      <c r="B24" s="79" t="s">
        <v>84</v>
      </c>
      <c r="C24" s="215" t="s">
        <v>88</v>
      </c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</row>
    <row r="25" spans="2:24" ht="25.5" customHeight="1" x14ac:dyDescent="0.25">
      <c r="B25" s="99" t="s">
        <v>34</v>
      </c>
      <c r="C25" s="195" t="s">
        <v>153</v>
      </c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</row>
    <row r="26" spans="2:24" ht="25.5" customHeight="1" x14ac:dyDescent="0.25">
      <c r="B26" s="99" t="s">
        <v>35</v>
      </c>
      <c r="C26" s="195" t="s">
        <v>154</v>
      </c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</row>
    <row r="27" spans="2:24" ht="25.5" customHeight="1" x14ac:dyDescent="0.25">
      <c r="B27" s="99" t="s">
        <v>36</v>
      </c>
      <c r="C27" s="195" t="s">
        <v>155</v>
      </c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</row>
    <row r="28" spans="2:24" ht="25.5" customHeight="1" x14ac:dyDescent="0.25">
      <c r="B28" s="99" t="s">
        <v>37</v>
      </c>
      <c r="C28" s="195" t="s">
        <v>156</v>
      </c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</row>
    <row r="29" spans="2:24" ht="25.5" customHeight="1" x14ac:dyDescent="0.25">
      <c r="B29" s="79" t="s">
        <v>85</v>
      </c>
      <c r="C29" s="215" t="s">
        <v>89</v>
      </c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</row>
    <row r="30" spans="2:24" ht="25.5" customHeight="1" x14ac:dyDescent="0.25">
      <c r="B30" s="99" t="s">
        <v>38</v>
      </c>
      <c r="C30" s="210" t="s">
        <v>157</v>
      </c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</row>
    <row r="31" spans="2:24" ht="25.5" customHeight="1" x14ac:dyDescent="0.25">
      <c r="B31" s="99" t="s">
        <v>39</v>
      </c>
      <c r="C31" s="210" t="s">
        <v>158</v>
      </c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</row>
    <row r="32" spans="2:24" ht="25.5" customHeight="1" x14ac:dyDescent="0.25">
      <c r="B32" s="99" t="s">
        <v>40</v>
      </c>
      <c r="C32" s="210" t="s">
        <v>159</v>
      </c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</row>
    <row r="33" spans="2:20" ht="25.5" customHeight="1" x14ac:dyDescent="0.25">
      <c r="B33" s="79" t="s">
        <v>86</v>
      </c>
      <c r="C33" s="215" t="s">
        <v>90</v>
      </c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</row>
    <row r="34" spans="2:20" ht="25.5" customHeight="1" x14ac:dyDescent="0.25">
      <c r="B34" s="99" t="s">
        <v>41</v>
      </c>
      <c r="C34" s="195" t="s">
        <v>160</v>
      </c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</row>
    <row r="35" spans="2:20" ht="25.5" customHeight="1" x14ac:dyDescent="0.25">
      <c r="B35" s="99" t="s">
        <v>42</v>
      </c>
      <c r="C35" s="195" t="s">
        <v>161</v>
      </c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</row>
    <row r="36" spans="2:20" ht="25.5" customHeight="1" x14ac:dyDescent="0.25">
      <c r="B36" s="99" t="s">
        <v>43</v>
      </c>
      <c r="C36" s="210" t="s">
        <v>162</v>
      </c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</row>
    <row r="37" spans="2:20" ht="25.5" customHeight="1" x14ac:dyDescent="0.25">
      <c r="B37" s="99" t="s">
        <v>44</v>
      </c>
      <c r="C37" s="210" t="s">
        <v>163</v>
      </c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</row>
    <row r="38" spans="2:20" ht="25.5" customHeight="1" x14ac:dyDescent="0.25">
      <c r="B38" s="99" t="s">
        <v>45</v>
      </c>
      <c r="C38" s="210" t="s">
        <v>164</v>
      </c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</row>
    <row r="39" spans="2:20" ht="25.5" customHeight="1" x14ac:dyDescent="0.25">
      <c r="B39" s="79" t="s">
        <v>87</v>
      </c>
      <c r="C39" s="215" t="s">
        <v>91</v>
      </c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</row>
    <row r="40" spans="2:20" ht="25.5" customHeight="1" x14ac:dyDescent="0.25">
      <c r="B40" s="99" t="s">
        <v>46</v>
      </c>
      <c r="C40" s="210" t="s">
        <v>165</v>
      </c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</row>
    <row r="41" spans="2:20" ht="25.5" customHeight="1" x14ac:dyDescent="0.25">
      <c r="B41" s="99" t="s">
        <v>47</v>
      </c>
      <c r="C41" s="210" t="s">
        <v>166</v>
      </c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</row>
    <row r="42" spans="2:20" ht="25.5" customHeight="1" x14ac:dyDescent="0.25">
      <c r="B42" s="99" t="s">
        <v>48</v>
      </c>
      <c r="C42" s="210" t="s">
        <v>167</v>
      </c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</row>
    <row r="43" spans="2:20" ht="25.5" customHeight="1" x14ac:dyDescent="0.25">
      <c r="B43" s="99" t="s">
        <v>49</v>
      </c>
      <c r="C43" s="210" t="s">
        <v>168</v>
      </c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</row>
  </sheetData>
  <mergeCells count="37">
    <mergeCell ref="H3:I3"/>
    <mergeCell ref="K3:L3"/>
    <mergeCell ref="P3:Q3"/>
    <mergeCell ref="B6:D6"/>
    <mergeCell ref="V4:V5"/>
    <mergeCell ref="C36:T36"/>
    <mergeCell ref="B4:C5"/>
    <mergeCell ref="D4:D5"/>
    <mergeCell ref="C40:T40"/>
    <mergeCell ref="C28:T28"/>
    <mergeCell ref="C30:T30"/>
    <mergeCell ref="C31:T31"/>
    <mergeCell ref="C32:T32"/>
    <mergeCell ref="C34:T34"/>
    <mergeCell ref="C33:T33"/>
    <mergeCell ref="C43:T43"/>
    <mergeCell ref="E19:T19"/>
    <mergeCell ref="B20:D20"/>
    <mergeCell ref="B21:D21"/>
    <mergeCell ref="C41:T41"/>
    <mergeCell ref="C42:T42"/>
    <mergeCell ref="C39:T39"/>
    <mergeCell ref="C35:T35"/>
    <mergeCell ref="C25:T25"/>
    <mergeCell ref="C26:T26"/>
    <mergeCell ref="C27:T27"/>
    <mergeCell ref="C24:T24"/>
    <mergeCell ref="C29:T29"/>
    <mergeCell ref="B23:T23"/>
    <mergeCell ref="C37:T37"/>
    <mergeCell ref="C38:T38"/>
    <mergeCell ref="W4:W5"/>
    <mergeCell ref="X4:X5"/>
    <mergeCell ref="E4:H4"/>
    <mergeCell ref="I4:K4"/>
    <mergeCell ref="L4:P4"/>
    <mergeCell ref="Q4:T4"/>
  </mergeCells>
  <conditionalFormatting sqref="E7:U19">
    <cfRule type="notContainsBlanks" dxfId="3" priority="4">
      <formula>LEN(TRIM(E7))&gt;0</formula>
    </cfRule>
  </conditionalFormatting>
  <conditionalFormatting sqref="E21:U21 E6:U6">
    <cfRule type="notContainsBlanks" dxfId="2" priority="3">
      <formula>LEN(TRIM(E6))&gt;0</formula>
    </cfRule>
  </conditionalFormatting>
  <conditionalFormatting sqref="E20:U20">
    <cfRule type="notContainsBlanks" dxfId="1" priority="5">
      <formula>LEN(TRIM(E20))&gt;0</formula>
    </cfRule>
  </conditionalFormatting>
  <conditionalFormatting sqref="X6:X22">
    <cfRule type="cellIs" dxfId="0" priority="1" operator="equal">
      <formula>0</formula>
    </cfRule>
  </conditionalFormatting>
  <printOptions horizontalCentered="1" verticalCentered="1"/>
  <pageMargins left="0.25" right="0.25" top="0.75" bottom="0.75" header="0.3" footer="0.3"/>
  <pageSetup paperSize="9" scale="4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T38"/>
  <sheetViews>
    <sheetView workbookViewId="0">
      <selection activeCell="D2" sqref="D2"/>
    </sheetView>
  </sheetViews>
  <sheetFormatPr baseColWidth="10" defaultColWidth="7.5703125" defaultRowHeight="15" x14ac:dyDescent="0.25"/>
  <cols>
    <col min="1" max="1" width="3.85546875" style="82" customWidth="1"/>
    <col min="2" max="2" width="7.5703125" style="82"/>
    <col min="3" max="3" width="9" style="82" customWidth="1"/>
    <col min="4" max="4" width="57.42578125" style="82" customWidth="1"/>
    <col min="5" max="5" width="5" style="82" customWidth="1"/>
    <col min="6" max="9" width="9.28515625" style="82" customWidth="1"/>
    <col min="10" max="11" width="7.5703125" style="82"/>
    <col min="12" max="12" width="9" style="82" customWidth="1"/>
    <col min="13" max="13" width="31.42578125" style="82" customWidth="1"/>
    <col min="14" max="14" width="5" style="82" customWidth="1"/>
    <col min="15" max="18" width="9.28515625" style="82" customWidth="1"/>
    <col min="19" max="16384" width="7.5703125" style="82"/>
  </cols>
  <sheetData>
    <row r="2" spans="1:20" x14ac:dyDescent="0.25">
      <c r="B2" s="81" t="s">
        <v>290</v>
      </c>
      <c r="C2" s="81"/>
      <c r="D2" s="128" t="s">
        <v>278</v>
      </c>
      <c r="E2" s="83"/>
      <c r="F2" s="81" t="str">
        <f>IFERROR(VLOOKUP(D2,tables!$G$20:$H$54,2,0),"")</f>
        <v>MANO</v>
      </c>
      <c r="G2" s="81"/>
      <c r="H2" s="81"/>
      <c r="I2" s="81"/>
      <c r="J2" s="101" t="str">
        <f>IF($J$3=3,LEFT($M$2,2),IF($J$3=4,LEFT($M$2,3),"x"))</f>
        <v>M5</v>
      </c>
      <c r="K2" s="81" t="s">
        <v>294</v>
      </c>
      <c r="L2" s="81"/>
      <c r="M2" s="221" t="s">
        <v>296</v>
      </c>
      <c r="N2" s="221"/>
      <c r="O2" s="221"/>
      <c r="P2" s="221"/>
      <c r="Q2" s="221"/>
      <c r="R2" s="81"/>
    </row>
    <row r="3" spans="1:20" x14ac:dyDescent="0.25">
      <c r="B3" s="81"/>
      <c r="C3" s="81"/>
      <c r="D3" s="81"/>
      <c r="E3" s="81"/>
      <c r="F3" s="81"/>
      <c r="G3" s="81"/>
      <c r="H3" s="81"/>
      <c r="I3" s="81"/>
      <c r="J3" s="82">
        <f>SEARCH(" ",$M$2,1)</f>
        <v>3</v>
      </c>
      <c r="K3" s="81"/>
      <c r="L3" s="81"/>
      <c r="M3" s="81"/>
      <c r="N3" s="81"/>
      <c r="O3" s="81"/>
      <c r="P3" s="81"/>
      <c r="Q3" s="81"/>
      <c r="R3" s="81"/>
    </row>
    <row r="4" spans="1:20" ht="15.75" thickBot="1" x14ac:dyDescent="0.3">
      <c r="B4" s="84" t="s">
        <v>288</v>
      </c>
      <c r="C4" s="84" t="s">
        <v>1</v>
      </c>
      <c r="D4" s="84" t="s">
        <v>289</v>
      </c>
      <c r="E4" s="84"/>
      <c r="F4" s="84" t="s">
        <v>198</v>
      </c>
      <c r="G4" s="84" t="s">
        <v>285</v>
      </c>
      <c r="H4" s="84" t="s">
        <v>286</v>
      </c>
      <c r="I4" s="84" t="s">
        <v>287</v>
      </c>
      <c r="K4" s="84" t="s">
        <v>288</v>
      </c>
      <c r="L4" s="84" t="s">
        <v>1</v>
      </c>
      <c r="M4" s="84" t="s">
        <v>293</v>
      </c>
      <c r="N4" s="84"/>
      <c r="O4" s="84" t="s">
        <v>198</v>
      </c>
      <c r="P4" s="84" t="s">
        <v>285</v>
      </c>
      <c r="Q4" s="84" t="s">
        <v>286</v>
      </c>
      <c r="R4" s="84" t="s">
        <v>287</v>
      </c>
    </row>
    <row r="5" spans="1:20" ht="15.75" thickTop="1" x14ac:dyDescent="0.25">
      <c r="A5" s="82">
        <v>1</v>
      </c>
      <c r="B5" s="93">
        <f>IFERROR(INDEX(ListeCours[],MATCH($D$2&amp;"_"&amp;A5,ListeCours[clé_formateur],0),17),"")</f>
        <v>52</v>
      </c>
      <c r="C5" s="86" t="str">
        <f>IFERROR(INDEX(ListeCours[],MATCH($D$2&amp;"_"&amp;A5,ListeCours[clé_formateur],0),2),"")</f>
        <v>M6.2</v>
      </c>
      <c r="D5" s="87" t="str">
        <f>IFERROR(INDEX(ListeCours[],MATCH($D$2&amp;"_"&amp;A5,ListeCours[clé_formateur],0),1),"")</f>
        <v>M6 - Planification et optimisation exploitation transport et logistique</v>
      </c>
      <c r="E5" s="88">
        <f t="shared" ref="E5:E37" si="0">IFERROR(F5,DAY(F5))</f>
        <v>45059</v>
      </c>
      <c r="F5" s="89">
        <f>IFERROR(INDEX(ListeCours[],MATCH($D$2&amp;"_"&amp;A5,ListeCours[clé_formateur],0),3),"")</f>
        <v>45059</v>
      </c>
      <c r="G5" s="90">
        <f>IFERROR(INDEX(ListeCours[],MATCH($D$2&amp;"_"&amp;A5,ListeCours[clé_formateur],0),5),"")</f>
        <v>0.33333333333333331</v>
      </c>
      <c r="H5" s="90">
        <f>IFERROR(INDEX(ListeCours[],MATCH($D$2&amp;"_"&amp;A5,ListeCours[clé_formateur],0),6),"")</f>
        <v>0.5</v>
      </c>
      <c r="I5" s="90">
        <f>IFERROR(INDEX(ListeCours[],MATCH($D$2&amp;"_"&amp;A5,ListeCours[clé_formateur],0),7),"")</f>
        <v>0.16666666666666669</v>
      </c>
      <c r="K5" s="93">
        <f>IFERROR(INDEX(ListeCours[],MATCH($M$2&amp;"_"&amp;A5,ListeCours[clé_module],0),17),"")</f>
        <v>24</v>
      </c>
      <c r="L5" s="86" t="str">
        <f>IFERROR(INDEX(ListeCours[],MATCH($M$2&amp;"_"&amp;A5,ListeCours[clé_module],0),2),"")</f>
        <v>M5.1</v>
      </c>
      <c r="M5" s="91" t="str">
        <f>IFERROR(INDEX(ListeCours[],MATCH($M$2&amp;"_"&amp;A5,ListeCours[clé_module],0),4),"")</f>
        <v>R. QUILLET</v>
      </c>
      <c r="N5" s="88">
        <f t="shared" ref="N5:N37" si="1">IFERROR(O5,DAY(O5))</f>
        <v>45008</v>
      </c>
      <c r="O5" s="89">
        <f>IFERROR(INDEX(ListeCours[],MATCH($M$2&amp;"_"&amp;A5,ListeCours[clé_module],0),3),"")</f>
        <v>45008</v>
      </c>
      <c r="P5" s="92">
        <f>IFERROR(INDEX(ListeCours[],MATCH($M$2&amp;"_"&amp;A5,ListeCours[clé_module],0),5),"")</f>
        <v>0.70833333333333337</v>
      </c>
      <c r="Q5" s="92">
        <f>IFERROR(INDEX(ListeCours[],MATCH($M$2&amp;"_"&amp;A5,ListeCours[clé_module],0),6),"")</f>
        <v>0.83333333333333337</v>
      </c>
      <c r="R5" s="92">
        <f>IFERROR(INDEX(ListeCours[],MATCH($M$2&amp;"_"&amp;A5,ListeCours[clé_module],0),7),"")</f>
        <v>0.125</v>
      </c>
    </row>
    <row r="6" spans="1:20" x14ac:dyDescent="0.25">
      <c r="A6" s="82">
        <f>A5+1</f>
        <v>2</v>
      </c>
      <c r="B6" s="93">
        <f>IFERROR(INDEX(ListeCours[],MATCH($D$2&amp;"_"&amp;A6,ListeCours[clé_formateur],0),17),"")</f>
        <v>53</v>
      </c>
      <c r="C6" s="86" t="str">
        <f>IFERROR(INDEX(ListeCours[],MATCH($D$2&amp;"_"&amp;A6,ListeCours[clé_formateur],0),2),"")</f>
        <v>M6.2</v>
      </c>
      <c r="D6" s="87" t="str">
        <f>IFERROR(INDEX(ListeCours[],MATCH($D$2&amp;"_"&amp;A6,ListeCours[clé_formateur],0),1),"")</f>
        <v>M6 - Planification et optimisation exploitation transport et logistique</v>
      </c>
      <c r="E6" s="88">
        <f t="shared" si="0"/>
        <v>45065</v>
      </c>
      <c r="F6" s="89">
        <f>IFERROR(INDEX(ListeCours[],MATCH($D$2&amp;"_"&amp;A6,ListeCours[clé_formateur],0),3),"")</f>
        <v>45065</v>
      </c>
      <c r="G6" s="90">
        <f>IFERROR(INDEX(ListeCours[],MATCH($D$2&amp;"_"&amp;A6,ListeCours[clé_formateur],0),5),"")</f>
        <v>0.70833333333333337</v>
      </c>
      <c r="H6" s="90">
        <f>IFERROR(INDEX(ListeCours[],MATCH($D$2&amp;"_"&amp;A6,ListeCours[clé_formateur],0),6),"")</f>
        <v>0.83333333333333337</v>
      </c>
      <c r="I6" s="90">
        <f>IFERROR(INDEX(ListeCours[],MATCH($D$2&amp;"_"&amp;A6,ListeCours[clé_formateur],0),7),"")</f>
        <v>0.125</v>
      </c>
      <c r="K6" s="93">
        <f>IFERROR(INDEX(ListeCours[],MATCH($M$2&amp;"_"&amp;A6,ListeCours[clé_module],0),17),"")</f>
        <v>25</v>
      </c>
      <c r="L6" s="86" t="str">
        <f>IFERROR(INDEX(ListeCours[],MATCH($M$2&amp;"_"&amp;A6,ListeCours[clé_module],0),2),"")</f>
        <v>M5.1</v>
      </c>
      <c r="M6" s="91" t="str">
        <f>IFERROR(INDEX(ListeCours[],MATCH($M$2&amp;"_"&amp;A6,ListeCours[clé_module],0),4),"")</f>
        <v>R. QUILLET</v>
      </c>
      <c r="N6" s="88">
        <f t="shared" si="1"/>
        <v>45009</v>
      </c>
      <c r="O6" s="89">
        <f>IFERROR(INDEX(ListeCours[],MATCH($M$2&amp;"_"&amp;A6,ListeCours[clé_module],0),3),"")</f>
        <v>45009</v>
      </c>
      <c r="P6" s="92">
        <f>IFERROR(INDEX(ListeCours[],MATCH($M$2&amp;"_"&amp;A6,ListeCours[clé_module],0),5),"")</f>
        <v>0.70833333333333337</v>
      </c>
      <c r="Q6" s="92">
        <f>IFERROR(INDEX(ListeCours[],MATCH($M$2&amp;"_"&amp;A6,ListeCours[clé_module],0),6),"")</f>
        <v>0.83333333333333337</v>
      </c>
      <c r="R6" s="92">
        <f>IFERROR(INDEX(ListeCours[],MATCH($M$2&amp;"_"&amp;A6,ListeCours[clé_module],0),7),"")</f>
        <v>0.125</v>
      </c>
    </row>
    <row r="7" spans="1:20" x14ac:dyDescent="0.25">
      <c r="A7" s="82">
        <f t="shared" ref="A7:A37" si="2">A6+1</f>
        <v>3</v>
      </c>
      <c r="B7" s="93">
        <f>IFERROR(INDEX(ListeCours[],MATCH($D$2&amp;"_"&amp;A7,ListeCours[clé_formateur],0),17),"")</f>
        <v>54</v>
      </c>
      <c r="C7" s="86" t="str">
        <f>IFERROR(INDEX(ListeCours[],MATCH($D$2&amp;"_"&amp;A7,ListeCours[clé_formateur],0),2),"")</f>
        <v>M6.2</v>
      </c>
      <c r="D7" s="87" t="str">
        <f>IFERROR(INDEX(ListeCours[],MATCH($D$2&amp;"_"&amp;A7,ListeCours[clé_formateur],0),1),"")</f>
        <v>M6 - Planification et optimisation exploitation transport et logistique</v>
      </c>
      <c r="E7" s="88">
        <f t="shared" si="0"/>
        <v>45066</v>
      </c>
      <c r="F7" s="89">
        <f>IFERROR(INDEX(ListeCours[],MATCH($D$2&amp;"_"&amp;A7,ListeCours[clé_formateur],0),3),"")</f>
        <v>45066</v>
      </c>
      <c r="G7" s="90">
        <f>IFERROR(INDEX(ListeCours[],MATCH($D$2&amp;"_"&amp;A7,ListeCours[clé_formateur],0),5),"")</f>
        <v>0.33333333333333331</v>
      </c>
      <c r="H7" s="90">
        <f>IFERROR(INDEX(ListeCours[],MATCH($D$2&amp;"_"&amp;A7,ListeCours[clé_formateur],0),6),"")</f>
        <v>0.5</v>
      </c>
      <c r="I7" s="90">
        <f>IFERROR(INDEX(ListeCours[],MATCH($D$2&amp;"_"&amp;A7,ListeCours[clé_formateur],0),7),"")</f>
        <v>0.16666666666666669</v>
      </c>
      <c r="K7" s="93">
        <f>IFERROR(INDEX(ListeCours[],MATCH($M$2&amp;"_"&amp;A7,ListeCours[clé_module],0),17),"")</f>
        <v>31</v>
      </c>
      <c r="L7" s="86" t="str">
        <f>IFERROR(INDEX(ListeCours[],MATCH($M$2&amp;"_"&amp;A7,ListeCours[clé_module],0),2),"")</f>
        <v>M5.1</v>
      </c>
      <c r="M7" s="91" t="str">
        <f>IFERROR(INDEX(ListeCours[],MATCH($M$2&amp;"_"&amp;A7,ListeCours[clé_module],0),4),"")</f>
        <v>R. QUILLET</v>
      </c>
      <c r="N7" s="88">
        <f t="shared" si="1"/>
        <v>45017</v>
      </c>
      <c r="O7" s="89">
        <f>IFERROR(INDEX(ListeCours[],MATCH($M$2&amp;"_"&amp;A7,ListeCours[clé_module],0),3),"")</f>
        <v>45017</v>
      </c>
      <c r="P7" s="92">
        <f>IFERROR(INDEX(ListeCours[],MATCH($M$2&amp;"_"&amp;A7,ListeCours[clé_module],0),5),"")</f>
        <v>0.33333333333333331</v>
      </c>
      <c r="Q7" s="92">
        <f>IFERROR(INDEX(ListeCours[],MATCH($M$2&amp;"_"&amp;A7,ListeCours[clé_module],0),6),"")</f>
        <v>0.375</v>
      </c>
      <c r="R7" s="92">
        <f>IFERROR(INDEX(ListeCours[],MATCH($M$2&amp;"_"&amp;A7,ListeCours[clé_module],0),7),"")</f>
        <v>4.1666666666666685E-2</v>
      </c>
    </row>
    <row r="8" spans="1:20" x14ac:dyDescent="0.25">
      <c r="A8" s="82">
        <f t="shared" si="2"/>
        <v>4</v>
      </c>
      <c r="B8" s="93">
        <f>IFERROR(INDEX(ListeCours[],MATCH($D$2&amp;"_"&amp;A8,ListeCours[clé_formateur],0),17),"")</f>
        <v>57</v>
      </c>
      <c r="C8" s="86" t="str">
        <f>IFERROR(INDEX(ListeCours[],MATCH($D$2&amp;"_"&amp;A8,ListeCours[clé_formateur],0),2),"")</f>
        <v>M6.2</v>
      </c>
      <c r="D8" s="87" t="str">
        <f>IFERROR(INDEX(ListeCours[],MATCH($D$2&amp;"_"&amp;A8,ListeCours[clé_formateur],0),1),"")</f>
        <v>M6 - Planification et optimisation exploitation transport et logistique</v>
      </c>
      <c r="E8" s="88">
        <f t="shared" si="0"/>
        <v>45072</v>
      </c>
      <c r="F8" s="89">
        <f>IFERROR(INDEX(ListeCours[],MATCH($D$2&amp;"_"&amp;A8,ListeCours[clé_formateur],0),3),"")</f>
        <v>45072</v>
      </c>
      <c r="G8" s="90">
        <f>IFERROR(INDEX(ListeCours[],MATCH($D$2&amp;"_"&amp;A8,ListeCours[clé_formateur],0),5),"")</f>
        <v>0.70833333333333337</v>
      </c>
      <c r="H8" s="90">
        <f>IFERROR(INDEX(ListeCours[],MATCH($D$2&amp;"_"&amp;A8,ListeCours[clé_formateur],0),6),"")</f>
        <v>0.83333333333333337</v>
      </c>
      <c r="I8" s="90">
        <f>IFERROR(INDEX(ListeCours[],MATCH($D$2&amp;"_"&amp;A8,ListeCours[clé_formateur],0),7),"")</f>
        <v>0.125</v>
      </c>
      <c r="K8" s="93">
        <f>IFERROR(INDEX(ListeCours[],MATCH($M$2&amp;"_"&amp;A8,ListeCours[clé_module],0),17),"")</f>
        <v>32</v>
      </c>
      <c r="L8" s="86" t="str">
        <f>IFERROR(INDEX(ListeCours[],MATCH($M$2&amp;"_"&amp;A8,ListeCours[clé_module],0),2),"")</f>
        <v>M5.2</v>
      </c>
      <c r="M8" s="91" t="str">
        <f>IFERROR(INDEX(ListeCours[],MATCH($M$2&amp;"_"&amp;A8,ListeCours[clé_module],0),4),"")</f>
        <v>R. QUILLET</v>
      </c>
      <c r="N8" s="88">
        <f t="shared" si="1"/>
        <v>45017</v>
      </c>
      <c r="O8" s="89">
        <f>IFERROR(INDEX(ListeCours[],MATCH($M$2&amp;"_"&amp;A8,ListeCours[clé_module],0),3),"")</f>
        <v>45017</v>
      </c>
      <c r="P8" s="92">
        <f>IFERROR(INDEX(ListeCours[],MATCH($M$2&amp;"_"&amp;A8,ListeCours[clé_module],0),5),"")</f>
        <v>0.375</v>
      </c>
      <c r="Q8" s="92">
        <f>IFERROR(INDEX(ListeCours[],MATCH($M$2&amp;"_"&amp;A8,ListeCours[clé_module],0),6),"")</f>
        <v>0.5</v>
      </c>
      <c r="R8" s="92">
        <f>IFERROR(INDEX(ListeCours[],MATCH($M$2&amp;"_"&amp;A8,ListeCours[clé_module],0),7),"")</f>
        <v>0.125</v>
      </c>
    </row>
    <row r="9" spans="1:20" x14ac:dyDescent="0.25">
      <c r="A9" s="82">
        <f t="shared" si="2"/>
        <v>5</v>
      </c>
      <c r="B9" s="93" t="str">
        <f>IFERROR(INDEX(ListeCours[],MATCH($D$2&amp;"_"&amp;A9,ListeCours[clé_formateur],0),17),"")</f>
        <v/>
      </c>
      <c r="C9" s="86" t="str">
        <f>IFERROR(INDEX(ListeCours[],MATCH($D$2&amp;"_"&amp;A9,ListeCours[clé_formateur],0),2),"")</f>
        <v/>
      </c>
      <c r="D9" s="87" t="str">
        <f>IFERROR(INDEX(ListeCours[],MATCH($D$2&amp;"_"&amp;A9,ListeCours[clé_formateur],0),1),"")</f>
        <v/>
      </c>
      <c r="E9" s="88" t="str">
        <f t="shared" si="0"/>
        <v/>
      </c>
      <c r="F9" s="89" t="str">
        <f>IFERROR(INDEX(ListeCours[],MATCH($D$2&amp;"_"&amp;A9,ListeCours[clé_formateur],0),3),"")</f>
        <v/>
      </c>
      <c r="G9" s="90" t="str">
        <f>IFERROR(INDEX(ListeCours[],MATCH($D$2&amp;"_"&amp;A9,ListeCours[clé_formateur],0),5),"")</f>
        <v/>
      </c>
      <c r="H9" s="90" t="str">
        <f>IFERROR(INDEX(ListeCours[],MATCH($D$2&amp;"_"&amp;A9,ListeCours[clé_formateur],0),6),"")</f>
        <v/>
      </c>
      <c r="I9" s="90" t="str">
        <f>IFERROR(INDEX(ListeCours[],MATCH($D$2&amp;"_"&amp;A9,ListeCours[clé_formateur],0),7),"")</f>
        <v/>
      </c>
      <c r="K9" s="93">
        <f>IFERROR(INDEX(ListeCours[],MATCH($M$2&amp;"_"&amp;A9,ListeCours[clé_module],0),17),"")</f>
        <v>34</v>
      </c>
      <c r="L9" s="86" t="str">
        <f>IFERROR(INDEX(ListeCours[],MATCH($M$2&amp;"_"&amp;A9,ListeCours[clé_module],0),2),"")</f>
        <v>M5.2</v>
      </c>
      <c r="M9" s="91" t="str">
        <f>IFERROR(INDEX(ListeCours[],MATCH($M$2&amp;"_"&amp;A9,ListeCours[clé_module],0),4),"")</f>
        <v>R. QUILLET</v>
      </c>
      <c r="N9" s="88">
        <f t="shared" si="1"/>
        <v>45022</v>
      </c>
      <c r="O9" s="89">
        <f>IFERROR(INDEX(ListeCours[],MATCH($M$2&amp;"_"&amp;A9,ListeCours[clé_module],0),3),"")</f>
        <v>45022</v>
      </c>
      <c r="P9" s="92">
        <f>IFERROR(INDEX(ListeCours[],MATCH($M$2&amp;"_"&amp;A9,ListeCours[clé_module],0),5),"")</f>
        <v>0.70833333333333337</v>
      </c>
      <c r="Q9" s="92">
        <f>IFERROR(INDEX(ListeCours[],MATCH($M$2&amp;"_"&amp;A9,ListeCours[clé_module],0),6),"")</f>
        <v>0.83333333333333337</v>
      </c>
      <c r="R9" s="92">
        <f>IFERROR(INDEX(ListeCours[],MATCH($M$2&amp;"_"&amp;A9,ListeCours[clé_module],0),7),"")</f>
        <v>0.125</v>
      </c>
      <c r="T9" s="95"/>
    </row>
    <row r="10" spans="1:20" x14ac:dyDescent="0.25">
      <c r="A10" s="82">
        <f t="shared" si="2"/>
        <v>6</v>
      </c>
      <c r="B10" s="93" t="str">
        <f>IFERROR(INDEX(ListeCours[],MATCH($D$2&amp;"_"&amp;A10,ListeCours[clé_formateur],0),17),"")</f>
        <v/>
      </c>
      <c r="C10" s="86" t="str">
        <f>IFERROR(INDEX(ListeCours[],MATCH($D$2&amp;"_"&amp;A10,ListeCours[clé_formateur],0),2),"")</f>
        <v/>
      </c>
      <c r="D10" s="87" t="str">
        <f>IFERROR(INDEX(ListeCours[],MATCH($D$2&amp;"_"&amp;A10,ListeCours[clé_formateur],0),1),"")</f>
        <v/>
      </c>
      <c r="E10" s="88" t="str">
        <f t="shared" si="0"/>
        <v/>
      </c>
      <c r="F10" s="89" t="str">
        <f>IFERROR(INDEX(ListeCours[],MATCH($D$2&amp;"_"&amp;A10,ListeCours[clé_formateur],0),3),"")</f>
        <v/>
      </c>
      <c r="G10" s="90" t="str">
        <f>IFERROR(INDEX(ListeCours[],MATCH($D$2&amp;"_"&amp;A10,ListeCours[clé_formateur],0),5),"")</f>
        <v/>
      </c>
      <c r="H10" s="90" t="str">
        <f>IFERROR(INDEX(ListeCours[],MATCH($D$2&amp;"_"&amp;A10,ListeCours[clé_formateur],0),6),"")</f>
        <v/>
      </c>
      <c r="I10" s="90" t="str">
        <f>IFERROR(INDEX(ListeCours[],MATCH($D$2&amp;"_"&amp;A10,ListeCours[clé_formateur],0),7),"")</f>
        <v/>
      </c>
      <c r="K10" s="93">
        <f>IFERROR(INDEX(ListeCours[],MATCH($M$2&amp;"_"&amp;A10,ListeCours[clé_module],0),17),"")</f>
        <v>35</v>
      </c>
      <c r="L10" s="86" t="str">
        <f>IFERROR(INDEX(ListeCours[],MATCH($M$2&amp;"_"&amp;A10,ListeCours[clé_module],0),2),"")</f>
        <v>M5.2</v>
      </c>
      <c r="M10" s="91" t="str">
        <f>IFERROR(INDEX(ListeCours[],MATCH($M$2&amp;"_"&amp;A10,ListeCours[clé_module],0),4),"")</f>
        <v>R. QUILLET</v>
      </c>
      <c r="N10" s="88">
        <f t="shared" si="1"/>
        <v>45023</v>
      </c>
      <c r="O10" s="89">
        <f>IFERROR(INDEX(ListeCours[],MATCH($M$2&amp;"_"&amp;A10,ListeCours[clé_module],0),3),"")</f>
        <v>45023</v>
      </c>
      <c r="P10" s="92">
        <f>IFERROR(INDEX(ListeCours[],MATCH($M$2&amp;"_"&amp;A10,ListeCours[clé_module],0),5),"")</f>
        <v>0.70833333333333337</v>
      </c>
      <c r="Q10" s="92">
        <f>IFERROR(INDEX(ListeCours[],MATCH($M$2&amp;"_"&amp;A10,ListeCours[clé_module],0),6),"")</f>
        <v>0.83333333333333337</v>
      </c>
      <c r="R10" s="92">
        <f>IFERROR(INDEX(ListeCours[],MATCH($M$2&amp;"_"&amp;A10,ListeCours[clé_module],0),7),"")</f>
        <v>0.125</v>
      </c>
    </row>
    <row r="11" spans="1:20" x14ac:dyDescent="0.25">
      <c r="A11" s="82">
        <f t="shared" si="2"/>
        <v>7</v>
      </c>
      <c r="B11" s="93" t="str">
        <f>IFERROR(INDEX(ListeCours[],MATCH($D$2&amp;"_"&amp;A11,ListeCours[clé_formateur],0),17),"")</f>
        <v/>
      </c>
      <c r="C11" s="86" t="str">
        <f>IFERROR(INDEX(ListeCours[],MATCH($D$2&amp;"_"&amp;A11,ListeCours[clé_formateur],0),2),"")</f>
        <v/>
      </c>
      <c r="D11" s="87" t="str">
        <f>IFERROR(INDEX(ListeCours[],MATCH($D$2&amp;"_"&amp;A11,ListeCours[clé_formateur],0),1),"")</f>
        <v/>
      </c>
      <c r="E11" s="88" t="str">
        <f t="shared" si="0"/>
        <v/>
      </c>
      <c r="F11" s="89" t="str">
        <f>IFERROR(INDEX(ListeCours[],MATCH($D$2&amp;"_"&amp;A11,ListeCours[clé_formateur],0),3),"")</f>
        <v/>
      </c>
      <c r="G11" s="90" t="str">
        <f>IFERROR(INDEX(ListeCours[],MATCH($D$2&amp;"_"&amp;A11,ListeCours[clé_formateur],0),5),"")</f>
        <v/>
      </c>
      <c r="H11" s="90" t="str">
        <f>IFERROR(INDEX(ListeCours[],MATCH($D$2&amp;"_"&amp;A11,ListeCours[clé_formateur],0),6),"")</f>
        <v/>
      </c>
      <c r="I11" s="90" t="str">
        <f>IFERROR(INDEX(ListeCours[],MATCH($D$2&amp;"_"&amp;A11,ListeCours[clé_formateur],0),7),"")</f>
        <v/>
      </c>
      <c r="K11" s="93">
        <f>IFERROR(INDEX(ListeCours[],MATCH($M$2&amp;"_"&amp;A11,ListeCours[clé_module],0),17),"")</f>
        <v>37</v>
      </c>
      <c r="L11" s="86" t="str">
        <f>IFERROR(INDEX(ListeCours[],MATCH($M$2&amp;"_"&amp;A11,ListeCours[clé_module],0),2),"")</f>
        <v>M5.2</v>
      </c>
      <c r="M11" s="91" t="str">
        <f>IFERROR(INDEX(ListeCours[],MATCH($M$2&amp;"_"&amp;A11,ListeCours[clé_module],0),4),"")</f>
        <v>R. QUILLET</v>
      </c>
      <c r="N11" s="88">
        <f t="shared" si="1"/>
        <v>45029</v>
      </c>
      <c r="O11" s="89">
        <f>IFERROR(INDEX(ListeCours[],MATCH($M$2&amp;"_"&amp;A11,ListeCours[clé_module],0),3),"")</f>
        <v>45029</v>
      </c>
      <c r="P11" s="92">
        <f>IFERROR(INDEX(ListeCours[],MATCH($M$2&amp;"_"&amp;A11,ListeCours[clé_module],0),5),"")</f>
        <v>0.70833333333333337</v>
      </c>
      <c r="Q11" s="92">
        <f>IFERROR(INDEX(ListeCours[],MATCH($M$2&amp;"_"&amp;A11,ListeCours[clé_module],0),6),"")</f>
        <v>0.83333333333333337</v>
      </c>
      <c r="R11" s="92">
        <f>IFERROR(INDEX(ListeCours[],MATCH($M$2&amp;"_"&amp;A11,ListeCours[clé_module],0),7),"")</f>
        <v>0.125</v>
      </c>
    </row>
    <row r="12" spans="1:20" x14ac:dyDescent="0.25">
      <c r="A12" s="82">
        <f t="shared" si="2"/>
        <v>8</v>
      </c>
      <c r="B12" s="93" t="str">
        <f>IFERROR(INDEX(ListeCours[],MATCH($D$2&amp;"_"&amp;A12,ListeCours[clé_formateur],0),17),"")</f>
        <v/>
      </c>
      <c r="C12" s="86" t="str">
        <f>IFERROR(INDEX(ListeCours[],MATCH($D$2&amp;"_"&amp;A12,ListeCours[clé_formateur],0),2),"")</f>
        <v/>
      </c>
      <c r="D12" s="87" t="str">
        <f>IFERROR(INDEX(ListeCours[],MATCH($D$2&amp;"_"&amp;A12,ListeCours[clé_formateur],0),1),"")</f>
        <v/>
      </c>
      <c r="E12" s="88" t="str">
        <f t="shared" si="0"/>
        <v/>
      </c>
      <c r="F12" s="89" t="str">
        <f>IFERROR(INDEX(ListeCours[],MATCH($D$2&amp;"_"&amp;A12,ListeCours[clé_formateur],0),3),"")</f>
        <v/>
      </c>
      <c r="G12" s="90" t="str">
        <f>IFERROR(INDEX(ListeCours[],MATCH($D$2&amp;"_"&amp;A12,ListeCours[clé_formateur],0),5),"")</f>
        <v/>
      </c>
      <c r="H12" s="90" t="str">
        <f>IFERROR(INDEX(ListeCours[],MATCH($D$2&amp;"_"&amp;A12,ListeCours[clé_formateur],0),6),"")</f>
        <v/>
      </c>
      <c r="I12" s="90" t="str">
        <f>IFERROR(INDEX(ListeCours[],MATCH($D$2&amp;"_"&amp;A12,ListeCours[clé_formateur],0),7),"")</f>
        <v/>
      </c>
      <c r="K12" s="93">
        <f>IFERROR(INDEX(ListeCours[],MATCH($M$2&amp;"_"&amp;A12,ListeCours[clé_module],0),17),"")</f>
        <v>38</v>
      </c>
      <c r="L12" s="86" t="str">
        <f>IFERROR(INDEX(ListeCours[],MATCH($M$2&amp;"_"&amp;A12,ListeCours[clé_module],0),2),"")</f>
        <v>M5.2</v>
      </c>
      <c r="M12" s="91" t="str">
        <f>IFERROR(INDEX(ListeCours[],MATCH($M$2&amp;"_"&amp;A12,ListeCours[clé_module],0),4),"")</f>
        <v>R. QUILLET</v>
      </c>
      <c r="N12" s="88">
        <f t="shared" si="1"/>
        <v>45030</v>
      </c>
      <c r="O12" s="89">
        <f>IFERROR(INDEX(ListeCours[],MATCH($M$2&amp;"_"&amp;A12,ListeCours[clé_module],0),3),"")</f>
        <v>45030</v>
      </c>
      <c r="P12" s="92">
        <f>IFERROR(INDEX(ListeCours[],MATCH($M$2&amp;"_"&amp;A12,ListeCours[clé_module],0),5),"")</f>
        <v>0.70833333333333337</v>
      </c>
      <c r="Q12" s="92">
        <f>IFERROR(INDEX(ListeCours[],MATCH($M$2&amp;"_"&amp;A12,ListeCours[clé_module],0),6),"")</f>
        <v>0.79166666666666663</v>
      </c>
      <c r="R12" s="92">
        <f>IFERROR(INDEX(ListeCours[],MATCH($M$2&amp;"_"&amp;A12,ListeCours[clé_module],0),7),"")</f>
        <v>8.3333333333333259E-2</v>
      </c>
    </row>
    <row r="13" spans="1:20" x14ac:dyDescent="0.25">
      <c r="A13" s="82">
        <f t="shared" si="2"/>
        <v>9</v>
      </c>
      <c r="B13" s="93" t="str">
        <f>IFERROR(INDEX(ListeCours[],MATCH($D$2&amp;"_"&amp;A13,ListeCours[clé_formateur],0),17),"")</f>
        <v/>
      </c>
      <c r="C13" s="86" t="str">
        <f>IFERROR(INDEX(ListeCours[],MATCH($D$2&amp;"_"&amp;A13,ListeCours[clé_formateur],0),2),"")</f>
        <v/>
      </c>
      <c r="D13" s="87" t="str">
        <f>IFERROR(INDEX(ListeCours[],MATCH($D$2&amp;"_"&amp;A13,ListeCours[clé_formateur],0),1),"")</f>
        <v/>
      </c>
      <c r="E13" s="88" t="str">
        <f t="shared" si="0"/>
        <v/>
      </c>
      <c r="F13" s="89" t="str">
        <f>IFERROR(INDEX(ListeCours[],MATCH($D$2&amp;"_"&amp;A13,ListeCours[clé_formateur],0),3),"")</f>
        <v/>
      </c>
      <c r="G13" s="90" t="str">
        <f>IFERROR(INDEX(ListeCours[],MATCH($D$2&amp;"_"&amp;A13,ListeCours[clé_formateur],0),5),"")</f>
        <v/>
      </c>
      <c r="H13" s="90" t="str">
        <f>IFERROR(INDEX(ListeCours[],MATCH($D$2&amp;"_"&amp;A13,ListeCours[clé_formateur],0),6),"")</f>
        <v/>
      </c>
      <c r="I13" s="90" t="str">
        <f>IFERROR(INDEX(ListeCours[],MATCH($D$2&amp;"_"&amp;A13,ListeCours[clé_formateur],0),7),"")</f>
        <v/>
      </c>
      <c r="K13" s="93">
        <f>IFERROR(INDEX(ListeCours[],MATCH($M$2&amp;"_"&amp;A13,ListeCours[clé_module],0),17),"")</f>
        <v>39</v>
      </c>
      <c r="L13" s="86" t="str">
        <f>IFERROR(INDEX(ListeCours[],MATCH($M$2&amp;"_"&amp;A13,ListeCours[clé_module],0),2),"")</f>
        <v>M5.3</v>
      </c>
      <c r="M13" s="91" t="str">
        <f>IFERROR(INDEX(ListeCours[],MATCH($M$2&amp;"_"&amp;A13,ListeCours[clé_module],0),4),"")</f>
        <v>R. FERRAND</v>
      </c>
      <c r="N13" s="88">
        <f t="shared" si="1"/>
        <v>45031</v>
      </c>
      <c r="O13" s="89">
        <f>IFERROR(INDEX(ListeCours[],MATCH($M$2&amp;"_"&amp;A13,ListeCours[clé_module],0),3),"")</f>
        <v>45031</v>
      </c>
      <c r="P13" s="92">
        <f>IFERROR(INDEX(ListeCours[],MATCH($M$2&amp;"_"&amp;A13,ListeCours[clé_module],0),5),"")</f>
        <v>0.33333333333333331</v>
      </c>
      <c r="Q13" s="92">
        <f>IFERROR(INDEX(ListeCours[],MATCH($M$2&amp;"_"&amp;A13,ListeCours[clé_module],0),6),"")</f>
        <v>0.5</v>
      </c>
      <c r="R13" s="92">
        <f>IFERROR(INDEX(ListeCours[],MATCH($M$2&amp;"_"&amp;A13,ListeCours[clé_module],0),7),"")</f>
        <v>0.16666666666666669</v>
      </c>
    </row>
    <row r="14" spans="1:20" x14ac:dyDescent="0.25">
      <c r="A14" s="82">
        <f t="shared" si="2"/>
        <v>10</v>
      </c>
      <c r="B14" s="93" t="str">
        <f>IFERROR(INDEX(ListeCours[],MATCH($D$2&amp;"_"&amp;A14,ListeCours[clé_formateur],0),17),"")</f>
        <v/>
      </c>
      <c r="C14" s="86" t="str">
        <f>IFERROR(INDEX(ListeCours[],MATCH($D$2&amp;"_"&amp;A14,ListeCours[clé_formateur],0),2),"")</f>
        <v/>
      </c>
      <c r="D14" s="87" t="str">
        <f>IFERROR(INDEX(ListeCours[],MATCH($D$2&amp;"_"&amp;A14,ListeCours[clé_formateur],0),1),"")</f>
        <v/>
      </c>
      <c r="E14" s="88" t="str">
        <f t="shared" si="0"/>
        <v/>
      </c>
      <c r="F14" s="89" t="str">
        <f>IFERROR(INDEX(ListeCours[],MATCH($D$2&amp;"_"&amp;A14,ListeCours[clé_formateur],0),3),"")</f>
        <v/>
      </c>
      <c r="G14" s="90" t="str">
        <f>IFERROR(INDEX(ListeCours[],MATCH($D$2&amp;"_"&amp;A14,ListeCours[clé_formateur],0),5),"")</f>
        <v/>
      </c>
      <c r="H14" s="90" t="str">
        <f>IFERROR(INDEX(ListeCours[],MATCH($D$2&amp;"_"&amp;A14,ListeCours[clé_formateur],0),6),"")</f>
        <v/>
      </c>
      <c r="I14" s="90" t="str">
        <f>IFERROR(INDEX(ListeCours[],MATCH($D$2&amp;"_"&amp;A14,ListeCours[clé_formateur],0),7),"")</f>
        <v/>
      </c>
      <c r="K14" s="93">
        <f>IFERROR(INDEX(ListeCours[],MATCH($M$2&amp;"_"&amp;A14,ListeCours[clé_module],0),17),"")</f>
        <v>40</v>
      </c>
      <c r="L14" s="86" t="str">
        <f>IFERROR(INDEX(ListeCours[],MATCH($M$2&amp;"_"&amp;A14,ListeCours[clé_module],0),2),"")</f>
        <v>M5.4</v>
      </c>
      <c r="M14" s="91" t="str">
        <f>IFERROR(INDEX(ListeCours[],MATCH($M$2&amp;"_"&amp;A14,ListeCours[clé_module],0),4),"")</f>
        <v>R. FERRAND</v>
      </c>
      <c r="N14" s="88">
        <f t="shared" si="1"/>
        <v>45036</v>
      </c>
      <c r="O14" s="89">
        <f>IFERROR(INDEX(ListeCours[],MATCH($M$2&amp;"_"&amp;A14,ListeCours[clé_module],0),3),"")</f>
        <v>45036</v>
      </c>
      <c r="P14" s="92">
        <f>IFERROR(INDEX(ListeCours[],MATCH($M$2&amp;"_"&amp;A14,ListeCours[clé_module],0),5),"")</f>
        <v>0.70833333333333337</v>
      </c>
      <c r="Q14" s="92">
        <f>IFERROR(INDEX(ListeCours[],MATCH($M$2&amp;"_"&amp;A14,ListeCours[clé_module],0),6),"")</f>
        <v>0.83333333333333337</v>
      </c>
      <c r="R14" s="92">
        <f>IFERROR(INDEX(ListeCours[],MATCH($M$2&amp;"_"&amp;A14,ListeCours[clé_module],0),7),"")</f>
        <v>0.125</v>
      </c>
    </row>
    <row r="15" spans="1:20" x14ac:dyDescent="0.25">
      <c r="A15" s="82">
        <f t="shared" si="2"/>
        <v>11</v>
      </c>
      <c r="B15" s="93" t="str">
        <f>IFERROR(INDEX(ListeCours[],MATCH($D$2&amp;"_"&amp;A15,ListeCours[clé_formateur],0),17),"")</f>
        <v/>
      </c>
      <c r="C15" s="86" t="str">
        <f>IFERROR(INDEX(ListeCours[],MATCH($D$2&amp;"_"&amp;A15,ListeCours[clé_formateur],0),2),"")</f>
        <v/>
      </c>
      <c r="D15" s="87" t="str">
        <f>IFERROR(INDEX(ListeCours[],MATCH($D$2&amp;"_"&amp;A15,ListeCours[clé_formateur],0),1),"")</f>
        <v/>
      </c>
      <c r="E15" s="88" t="str">
        <f t="shared" si="0"/>
        <v/>
      </c>
      <c r="F15" s="89" t="str">
        <f>IFERROR(INDEX(ListeCours[],MATCH($D$2&amp;"_"&amp;A15,ListeCours[clé_formateur],0),3),"")</f>
        <v/>
      </c>
      <c r="G15" s="90" t="str">
        <f>IFERROR(INDEX(ListeCours[],MATCH($D$2&amp;"_"&amp;A15,ListeCours[clé_formateur],0),5),"")</f>
        <v/>
      </c>
      <c r="H15" s="90" t="str">
        <f>IFERROR(INDEX(ListeCours[],MATCH($D$2&amp;"_"&amp;A15,ListeCours[clé_formateur],0),6),"")</f>
        <v/>
      </c>
      <c r="I15" s="90" t="str">
        <f>IFERROR(INDEX(ListeCours[],MATCH($D$2&amp;"_"&amp;A15,ListeCours[clé_formateur],0),7),"")</f>
        <v/>
      </c>
      <c r="K15" s="93">
        <f>IFERROR(INDEX(ListeCours[],MATCH($M$2&amp;"_"&amp;A15,ListeCours[clé_module],0),17),"")</f>
        <v>41</v>
      </c>
      <c r="L15" s="86" t="str">
        <f>IFERROR(INDEX(ListeCours[],MATCH($M$2&amp;"_"&amp;A15,ListeCours[clé_module],0),2),"")</f>
        <v>M5.4</v>
      </c>
      <c r="M15" s="91" t="str">
        <f>IFERROR(INDEX(ListeCours[],MATCH($M$2&amp;"_"&amp;A15,ListeCours[clé_module],0),4),"")</f>
        <v>R. FERRAND</v>
      </c>
      <c r="N15" s="88">
        <f t="shared" si="1"/>
        <v>45037</v>
      </c>
      <c r="O15" s="89">
        <f>IFERROR(INDEX(ListeCours[],MATCH($M$2&amp;"_"&amp;A15,ListeCours[clé_module],0),3),"")</f>
        <v>45037</v>
      </c>
      <c r="P15" s="92">
        <f>IFERROR(INDEX(ListeCours[],MATCH($M$2&amp;"_"&amp;A15,ListeCours[clé_module],0),5),"")</f>
        <v>0.70833333333333337</v>
      </c>
      <c r="Q15" s="92">
        <f>IFERROR(INDEX(ListeCours[],MATCH($M$2&amp;"_"&amp;A15,ListeCours[clé_module],0),6),"")</f>
        <v>0.83333333333333337</v>
      </c>
      <c r="R15" s="92">
        <f>IFERROR(INDEX(ListeCours[],MATCH($M$2&amp;"_"&amp;A15,ListeCours[clé_module],0),7),"")</f>
        <v>0.125</v>
      </c>
    </row>
    <row r="16" spans="1:20" x14ac:dyDescent="0.25">
      <c r="A16" s="82">
        <f t="shared" si="2"/>
        <v>12</v>
      </c>
      <c r="B16" s="93" t="str">
        <f>IFERROR(INDEX(ListeCours[],MATCH($D$2&amp;"_"&amp;A16,ListeCours[clé_formateur],0),17),"")</f>
        <v/>
      </c>
      <c r="C16" s="86" t="str">
        <f>IFERROR(INDEX(ListeCours[],MATCH($D$2&amp;"_"&amp;A16,ListeCours[clé_formateur],0),2),"")</f>
        <v/>
      </c>
      <c r="D16" s="87" t="str">
        <f>IFERROR(INDEX(ListeCours[],MATCH($D$2&amp;"_"&amp;A16,ListeCours[clé_formateur],0),1),"")</f>
        <v/>
      </c>
      <c r="E16" s="88" t="str">
        <f t="shared" si="0"/>
        <v/>
      </c>
      <c r="F16" s="89" t="str">
        <f>IFERROR(INDEX(ListeCours[],MATCH($D$2&amp;"_"&amp;A16,ListeCours[clé_formateur],0),3),"")</f>
        <v/>
      </c>
      <c r="G16" s="90" t="str">
        <f>IFERROR(INDEX(ListeCours[],MATCH($D$2&amp;"_"&amp;A16,ListeCours[clé_formateur],0),5),"")</f>
        <v/>
      </c>
      <c r="H16" s="90" t="str">
        <f>IFERROR(INDEX(ListeCours[],MATCH($D$2&amp;"_"&amp;A16,ListeCours[clé_formateur],0),6),"")</f>
        <v/>
      </c>
      <c r="I16" s="90" t="str">
        <f>IFERROR(INDEX(ListeCours[],MATCH($D$2&amp;"_"&amp;A16,ListeCours[clé_formateur],0),7),"")</f>
        <v/>
      </c>
      <c r="K16" s="93">
        <f>IFERROR(INDEX(ListeCours[],MATCH($M$2&amp;"_"&amp;A16,ListeCours[clé_module],0),17),"")</f>
        <v>42</v>
      </c>
      <c r="L16" s="86" t="str">
        <f>IFERROR(INDEX(ListeCours[],MATCH($M$2&amp;"_"&amp;A16,ListeCours[clé_module],0),2),"")</f>
        <v>M5.4</v>
      </c>
      <c r="M16" s="91" t="str">
        <f>IFERROR(INDEX(ListeCours[],MATCH($M$2&amp;"_"&amp;A16,ListeCours[clé_module],0),4),"")</f>
        <v>R. FERRAND</v>
      </c>
      <c r="N16" s="88">
        <f t="shared" si="1"/>
        <v>45038</v>
      </c>
      <c r="O16" s="89">
        <f>IFERROR(INDEX(ListeCours[],MATCH($M$2&amp;"_"&amp;A16,ListeCours[clé_module],0),3),"")</f>
        <v>45038</v>
      </c>
      <c r="P16" s="92">
        <f>IFERROR(INDEX(ListeCours[],MATCH($M$2&amp;"_"&amp;A16,ListeCours[clé_module],0),5),"")</f>
        <v>0.33333333333333331</v>
      </c>
      <c r="Q16" s="92">
        <f>IFERROR(INDEX(ListeCours[],MATCH($M$2&amp;"_"&amp;A16,ListeCours[clé_module],0),6),"")</f>
        <v>0.5</v>
      </c>
      <c r="R16" s="92">
        <f>IFERROR(INDEX(ListeCours[],MATCH($M$2&amp;"_"&amp;A16,ListeCours[clé_module],0),7),"")</f>
        <v>0.16666666666666669</v>
      </c>
    </row>
    <row r="17" spans="1:18" x14ac:dyDescent="0.25">
      <c r="A17" s="82">
        <f t="shared" si="2"/>
        <v>13</v>
      </c>
      <c r="B17" s="93" t="str">
        <f>IFERROR(INDEX(ListeCours[],MATCH($D$2&amp;"_"&amp;A17,ListeCours[clé_formateur],0),17),"")</f>
        <v/>
      </c>
      <c r="C17" s="86" t="str">
        <f>IFERROR(INDEX(ListeCours[],MATCH($D$2&amp;"_"&amp;A17,ListeCours[clé_formateur],0),2),"")</f>
        <v/>
      </c>
      <c r="D17" s="87" t="str">
        <f>IFERROR(INDEX(ListeCours[],MATCH($D$2&amp;"_"&amp;A17,ListeCours[clé_formateur],0),1),"")</f>
        <v/>
      </c>
      <c r="E17" s="88" t="str">
        <f t="shared" si="0"/>
        <v/>
      </c>
      <c r="F17" s="89" t="str">
        <f>IFERROR(INDEX(ListeCours[],MATCH($D$2&amp;"_"&amp;A17,ListeCours[clé_formateur],0),3),"")</f>
        <v/>
      </c>
      <c r="G17" s="90" t="str">
        <f>IFERROR(INDEX(ListeCours[],MATCH($D$2&amp;"_"&amp;A17,ListeCours[clé_formateur],0),5),"")</f>
        <v/>
      </c>
      <c r="H17" s="90" t="str">
        <f>IFERROR(INDEX(ListeCours[],MATCH($D$2&amp;"_"&amp;A17,ListeCours[clé_formateur],0),6),"")</f>
        <v/>
      </c>
      <c r="I17" s="90" t="str">
        <f>IFERROR(INDEX(ListeCours[],MATCH($D$2&amp;"_"&amp;A17,ListeCours[clé_formateur],0),7),"")</f>
        <v/>
      </c>
      <c r="K17" s="93">
        <f>IFERROR(INDEX(ListeCours[],MATCH($M$2&amp;"_"&amp;A17,ListeCours[clé_module],0),17),"")</f>
        <v>43</v>
      </c>
      <c r="L17" s="86" t="str">
        <f>IFERROR(INDEX(ListeCours[],MATCH($M$2&amp;"_"&amp;A17,ListeCours[clé_module],0),2),"")</f>
        <v>M5.4</v>
      </c>
      <c r="M17" s="91" t="str">
        <f>IFERROR(INDEX(ListeCours[],MATCH($M$2&amp;"_"&amp;A17,ListeCours[clé_module],0),4),"")</f>
        <v>R. FERRAND</v>
      </c>
      <c r="N17" s="88">
        <f t="shared" si="1"/>
        <v>45043</v>
      </c>
      <c r="O17" s="89">
        <f>IFERROR(INDEX(ListeCours[],MATCH($M$2&amp;"_"&amp;A17,ListeCours[clé_module],0),3),"")</f>
        <v>45043</v>
      </c>
      <c r="P17" s="92">
        <f>IFERROR(INDEX(ListeCours[],MATCH($M$2&amp;"_"&amp;A17,ListeCours[clé_module],0),5),"")</f>
        <v>0.70833333333333337</v>
      </c>
      <c r="Q17" s="92">
        <f>IFERROR(INDEX(ListeCours[],MATCH($M$2&amp;"_"&amp;A17,ListeCours[clé_module],0),6),"")</f>
        <v>0.83333333333333337</v>
      </c>
      <c r="R17" s="92">
        <f>IFERROR(INDEX(ListeCours[],MATCH($M$2&amp;"_"&amp;A17,ListeCours[clé_module],0),7),"")</f>
        <v>0.125</v>
      </c>
    </row>
    <row r="18" spans="1:18" x14ac:dyDescent="0.25">
      <c r="A18" s="82">
        <f t="shared" si="2"/>
        <v>14</v>
      </c>
      <c r="B18" s="93" t="str">
        <f>IFERROR(INDEX(ListeCours[],MATCH($D$2&amp;"_"&amp;A18,ListeCours[clé_formateur],0),17),"")</f>
        <v/>
      </c>
      <c r="C18" s="86" t="str">
        <f>IFERROR(INDEX(ListeCours[],MATCH($D$2&amp;"_"&amp;A18,ListeCours[clé_formateur],0),2),"")</f>
        <v/>
      </c>
      <c r="D18" s="87" t="str">
        <f>IFERROR(INDEX(ListeCours[],MATCH($D$2&amp;"_"&amp;A18,ListeCours[clé_formateur],0),1),"")</f>
        <v/>
      </c>
      <c r="E18" s="88" t="str">
        <f t="shared" si="0"/>
        <v/>
      </c>
      <c r="F18" s="89" t="str">
        <f>IFERROR(INDEX(ListeCours[],MATCH($D$2&amp;"_"&amp;A18,ListeCours[clé_formateur],0),3),"")</f>
        <v/>
      </c>
      <c r="G18" s="90" t="str">
        <f>IFERROR(INDEX(ListeCours[],MATCH($D$2&amp;"_"&amp;A18,ListeCours[clé_formateur],0),5),"")</f>
        <v/>
      </c>
      <c r="H18" s="90" t="str">
        <f>IFERROR(INDEX(ListeCours[],MATCH($D$2&amp;"_"&amp;A18,ListeCours[clé_formateur],0),6),"")</f>
        <v/>
      </c>
      <c r="I18" s="90" t="str">
        <f>IFERROR(INDEX(ListeCours[],MATCH($D$2&amp;"_"&amp;A18,ListeCours[clé_formateur],0),7),"")</f>
        <v/>
      </c>
      <c r="K18" s="93">
        <f>IFERROR(INDEX(ListeCours[],MATCH($M$2&amp;"_"&amp;A18,ListeCours[clé_module],0),17),"")</f>
        <v>44</v>
      </c>
      <c r="L18" s="86" t="str">
        <f>IFERROR(INDEX(ListeCours[],MATCH($M$2&amp;"_"&amp;A18,ListeCours[clé_module],0),2),"")</f>
        <v>M5.4</v>
      </c>
      <c r="M18" s="91" t="str">
        <f>IFERROR(INDEX(ListeCours[],MATCH($M$2&amp;"_"&amp;A18,ListeCours[clé_module],0),4),"")</f>
        <v>R. FERRAND</v>
      </c>
      <c r="N18" s="88">
        <f t="shared" si="1"/>
        <v>45044</v>
      </c>
      <c r="O18" s="89">
        <f>IFERROR(INDEX(ListeCours[],MATCH($M$2&amp;"_"&amp;A18,ListeCours[clé_module],0),3),"")</f>
        <v>45044</v>
      </c>
      <c r="P18" s="92">
        <f>IFERROR(INDEX(ListeCours[],MATCH($M$2&amp;"_"&amp;A18,ListeCours[clé_module],0),5),"")</f>
        <v>0.70833333333333337</v>
      </c>
      <c r="Q18" s="92">
        <f>IFERROR(INDEX(ListeCours[],MATCH($M$2&amp;"_"&amp;A18,ListeCours[clé_module],0),6),"")</f>
        <v>0.83333333333333337</v>
      </c>
      <c r="R18" s="92">
        <f>IFERROR(INDEX(ListeCours[],MATCH($M$2&amp;"_"&amp;A18,ListeCours[clé_module],0),7),"")</f>
        <v>0.125</v>
      </c>
    </row>
    <row r="19" spans="1:18" x14ac:dyDescent="0.25">
      <c r="A19" s="82">
        <f t="shared" si="2"/>
        <v>15</v>
      </c>
      <c r="B19" s="93" t="str">
        <f>IFERROR(INDEX(ListeCours[],MATCH($D$2&amp;"_"&amp;A19,ListeCours[clé_formateur],0),17),"")</f>
        <v/>
      </c>
      <c r="C19" s="86" t="str">
        <f>IFERROR(INDEX(ListeCours[],MATCH($D$2&amp;"_"&amp;A19,ListeCours[clé_formateur],0),2),"")</f>
        <v/>
      </c>
      <c r="D19" s="87" t="str">
        <f>IFERROR(INDEX(ListeCours[],MATCH($D$2&amp;"_"&amp;A19,ListeCours[clé_formateur],0),1),"")</f>
        <v/>
      </c>
      <c r="E19" s="88" t="str">
        <f t="shared" si="0"/>
        <v/>
      </c>
      <c r="F19" s="89" t="str">
        <f>IFERROR(INDEX(ListeCours[],MATCH($D$2&amp;"_"&amp;A19,ListeCours[clé_formateur],0),3),"")</f>
        <v/>
      </c>
      <c r="G19" s="90" t="str">
        <f>IFERROR(INDEX(ListeCours[],MATCH($D$2&amp;"_"&amp;A19,ListeCours[clé_formateur],0),5),"")</f>
        <v/>
      </c>
      <c r="H19" s="90" t="str">
        <f>IFERROR(INDEX(ListeCours[],MATCH($D$2&amp;"_"&amp;A19,ListeCours[clé_formateur],0),6),"")</f>
        <v/>
      </c>
      <c r="I19" s="90" t="str">
        <f>IFERROR(INDEX(ListeCours[],MATCH($D$2&amp;"_"&amp;A19,ListeCours[clé_formateur],0),7),"")</f>
        <v/>
      </c>
      <c r="K19" s="93">
        <f>IFERROR(INDEX(ListeCours[],MATCH($M$2&amp;"_"&amp;A19,ListeCours[clé_module],0),17),"")</f>
        <v>46</v>
      </c>
      <c r="L19" s="86" t="str">
        <f>IFERROR(INDEX(ListeCours[],MATCH($M$2&amp;"_"&amp;A19,ListeCours[clé_module],0),2),"")</f>
        <v>M5.4</v>
      </c>
      <c r="M19" s="91" t="str">
        <f>IFERROR(INDEX(ListeCours[],MATCH($M$2&amp;"_"&amp;A19,ListeCours[clé_module],0),4),"")</f>
        <v>R. FERRAND</v>
      </c>
      <c r="N19" s="88">
        <f t="shared" si="1"/>
        <v>45050</v>
      </c>
      <c r="O19" s="89">
        <f>IFERROR(INDEX(ListeCours[],MATCH($M$2&amp;"_"&amp;A19,ListeCours[clé_module],0),3),"")</f>
        <v>45050</v>
      </c>
      <c r="P19" s="92">
        <f>IFERROR(INDEX(ListeCours[],MATCH($M$2&amp;"_"&amp;A19,ListeCours[clé_module],0),5),"")</f>
        <v>0.70833333333333337</v>
      </c>
      <c r="Q19" s="92">
        <f>IFERROR(INDEX(ListeCours[],MATCH($M$2&amp;"_"&amp;A19,ListeCours[clé_module],0),6),"")</f>
        <v>0.75</v>
      </c>
      <c r="R19" s="92">
        <f>IFERROR(INDEX(ListeCours[],MATCH($M$2&amp;"_"&amp;A19,ListeCours[clé_module],0),7),"")</f>
        <v>4.166666666666663E-2</v>
      </c>
    </row>
    <row r="20" spans="1:18" x14ac:dyDescent="0.25">
      <c r="A20" s="82">
        <f t="shared" si="2"/>
        <v>16</v>
      </c>
      <c r="B20" s="93" t="str">
        <f>IFERROR(INDEX(ListeCours[],MATCH($D$2&amp;"_"&amp;A20,ListeCours[clé_formateur],0),17),"")</f>
        <v/>
      </c>
      <c r="C20" s="86" t="str">
        <f>IFERROR(INDEX(ListeCours[],MATCH($D$2&amp;"_"&amp;A20,ListeCours[clé_formateur],0),2),"")</f>
        <v/>
      </c>
      <c r="D20" s="87" t="str">
        <f>IFERROR(INDEX(ListeCours[],MATCH($D$2&amp;"_"&amp;A20,ListeCours[clé_formateur],0),1),"")</f>
        <v/>
      </c>
      <c r="E20" s="88" t="str">
        <f t="shared" si="0"/>
        <v/>
      </c>
      <c r="F20" s="89" t="str">
        <f>IFERROR(INDEX(ListeCours[],MATCH($D$2&amp;"_"&amp;A20,ListeCours[clé_formateur],0),3),"")</f>
        <v/>
      </c>
      <c r="G20" s="90" t="str">
        <f>IFERROR(INDEX(ListeCours[],MATCH($D$2&amp;"_"&amp;A20,ListeCours[clé_formateur],0),5),"")</f>
        <v/>
      </c>
      <c r="H20" s="90" t="str">
        <f>IFERROR(INDEX(ListeCours[],MATCH($D$2&amp;"_"&amp;A20,ListeCours[clé_formateur],0),6),"")</f>
        <v/>
      </c>
      <c r="I20" s="90" t="str">
        <f>IFERROR(INDEX(ListeCours[],MATCH($D$2&amp;"_"&amp;A20,ListeCours[clé_formateur],0),7),"")</f>
        <v/>
      </c>
      <c r="K20" s="93" t="str">
        <f>IFERROR(INDEX(ListeCours[],MATCH($M$2&amp;"_"&amp;A20,ListeCours[clé_module],0),17),"")</f>
        <v/>
      </c>
      <c r="L20" s="86" t="str">
        <f>IFERROR(INDEX(ListeCours[],MATCH($M$2&amp;"_"&amp;A20,ListeCours[clé_module],0),2),"")</f>
        <v/>
      </c>
      <c r="M20" s="91" t="str">
        <f>IFERROR(INDEX(ListeCours[],MATCH($M$2&amp;"_"&amp;A20,ListeCours[clé_module],0),4),"")</f>
        <v/>
      </c>
      <c r="N20" s="88" t="str">
        <f t="shared" si="1"/>
        <v/>
      </c>
      <c r="O20" s="89" t="str">
        <f>IFERROR(INDEX(ListeCours[],MATCH($M$2&amp;"_"&amp;A20,ListeCours[clé_module],0),3),"")</f>
        <v/>
      </c>
      <c r="P20" s="92" t="str">
        <f>IFERROR(INDEX(ListeCours[],MATCH($M$2&amp;"_"&amp;A20,ListeCours[clé_module],0),5),"")</f>
        <v/>
      </c>
      <c r="Q20" s="92" t="str">
        <f>IFERROR(INDEX(ListeCours[],MATCH($M$2&amp;"_"&amp;A20,ListeCours[clé_module],0),6),"")</f>
        <v/>
      </c>
      <c r="R20" s="92" t="str">
        <f>IFERROR(INDEX(ListeCours[],MATCH($M$2&amp;"_"&amp;A20,ListeCours[clé_module],0),7),"")</f>
        <v/>
      </c>
    </row>
    <row r="21" spans="1:18" x14ac:dyDescent="0.25">
      <c r="A21" s="82">
        <f t="shared" si="2"/>
        <v>17</v>
      </c>
      <c r="B21" s="93" t="str">
        <f>IFERROR(INDEX(ListeCours[],MATCH($D$2&amp;"_"&amp;A21,ListeCours[clé_formateur],0),17),"")</f>
        <v/>
      </c>
      <c r="C21" s="86" t="str">
        <f>IFERROR(INDEX(ListeCours[],MATCH($D$2&amp;"_"&amp;A21,ListeCours[clé_formateur],0),2),"")</f>
        <v/>
      </c>
      <c r="D21" s="87" t="str">
        <f>IFERROR(INDEX(ListeCours[],MATCH($D$2&amp;"_"&amp;A21,ListeCours[clé_formateur],0),1),"")</f>
        <v/>
      </c>
      <c r="E21" s="88" t="str">
        <f t="shared" si="0"/>
        <v/>
      </c>
      <c r="F21" s="89" t="str">
        <f>IFERROR(INDEX(ListeCours[],MATCH($D$2&amp;"_"&amp;A21,ListeCours[clé_formateur],0),3),"")</f>
        <v/>
      </c>
      <c r="G21" s="90" t="str">
        <f>IFERROR(INDEX(ListeCours[],MATCH($D$2&amp;"_"&amp;A21,ListeCours[clé_formateur],0),5),"")</f>
        <v/>
      </c>
      <c r="H21" s="90" t="str">
        <f>IFERROR(INDEX(ListeCours[],MATCH($D$2&amp;"_"&amp;A21,ListeCours[clé_formateur],0),6),"")</f>
        <v/>
      </c>
      <c r="I21" s="90" t="str">
        <f>IFERROR(INDEX(ListeCours[],MATCH($D$2&amp;"_"&amp;A21,ListeCours[clé_formateur],0),7),"")</f>
        <v/>
      </c>
      <c r="K21" s="93" t="str">
        <f>IFERROR(INDEX(ListeCours[],MATCH($M$2&amp;"_"&amp;A21,ListeCours[clé_module],0),17),"")</f>
        <v/>
      </c>
      <c r="L21" s="86" t="str">
        <f>IFERROR(INDEX(ListeCours[],MATCH($M$2&amp;"_"&amp;A21,ListeCours[clé_module],0),2),"")</f>
        <v/>
      </c>
      <c r="M21" s="91" t="str">
        <f>IFERROR(INDEX(ListeCours[],MATCH($M$2&amp;"_"&amp;A21,ListeCours[clé_module],0),4),"")</f>
        <v/>
      </c>
      <c r="N21" s="88" t="str">
        <f t="shared" si="1"/>
        <v/>
      </c>
      <c r="O21" s="89" t="str">
        <f>IFERROR(INDEX(ListeCours[],MATCH($M$2&amp;"_"&amp;A21,ListeCours[clé_module],0),3),"")</f>
        <v/>
      </c>
      <c r="P21" s="92" t="str">
        <f>IFERROR(INDEX(ListeCours[],MATCH($M$2&amp;"_"&amp;A21,ListeCours[clé_module],0),5),"")</f>
        <v/>
      </c>
      <c r="Q21" s="92" t="str">
        <f>IFERROR(INDEX(ListeCours[],MATCH($M$2&amp;"_"&amp;A21,ListeCours[clé_module],0),6),"")</f>
        <v/>
      </c>
      <c r="R21" s="92" t="str">
        <f>IFERROR(INDEX(ListeCours[],MATCH($M$2&amp;"_"&amp;A21,ListeCours[clé_module],0),7),"")</f>
        <v/>
      </c>
    </row>
    <row r="22" spans="1:18" x14ac:dyDescent="0.25">
      <c r="A22" s="82">
        <f t="shared" si="2"/>
        <v>18</v>
      </c>
      <c r="B22" s="93" t="str">
        <f>IFERROR(INDEX(ListeCours[],MATCH($D$2&amp;"_"&amp;A22,ListeCours[clé_formateur],0),17),"")</f>
        <v/>
      </c>
      <c r="C22" s="86" t="str">
        <f>IFERROR(INDEX(ListeCours[],MATCH($D$2&amp;"_"&amp;A22,ListeCours[clé_formateur],0),2),"")</f>
        <v/>
      </c>
      <c r="D22" s="87" t="str">
        <f>IFERROR(INDEX(ListeCours[],MATCH($D$2&amp;"_"&amp;A22,ListeCours[clé_formateur],0),1),"")</f>
        <v/>
      </c>
      <c r="E22" s="88" t="str">
        <f t="shared" si="0"/>
        <v/>
      </c>
      <c r="F22" s="89" t="str">
        <f>IFERROR(INDEX(ListeCours[],MATCH($D$2&amp;"_"&amp;A22,ListeCours[clé_formateur],0),3),"")</f>
        <v/>
      </c>
      <c r="G22" s="90" t="str">
        <f>IFERROR(INDEX(ListeCours[],MATCH($D$2&amp;"_"&amp;A22,ListeCours[clé_formateur],0),5),"")</f>
        <v/>
      </c>
      <c r="H22" s="90" t="str">
        <f>IFERROR(INDEX(ListeCours[],MATCH($D$2&amp;"_"&amp;A22,ListeCours[clé_formateur],0),6),"")</f>
        <v/>
      </c>
      <c r="I22" s="90" t="str">
        <f>IFERROR(INDEX(ListeCours[],MATCH($D$2&amp;"_"&amp;A22,ListeCours[clé_formateur],0),7),"")</f>
        <v/>
      </c>
      <c r="K22" s="93" t="str">
        <f>IFERROR(INDEX(ListeCours[],MATCH($M$2&amp;"_"&amp;A22,ListeCours[clé_module],0),17),"")</f>
        <v/>
      </c>
      <c r="L22" s="86" t="str">
        <f>IFERROR(INDEX(ListeCours[],MATCH($M$2&amp;"_"&amp;A22,ListeCours[clé_module],0),2),"")</f>
        <v/>
      </c>
      <c r="M22" s="91" t="str">
        <f>IFERROR(INDEX(ListeCours[],MATCH($M$2&amp;"_"&amp;A22,ListeCours[clé_module],0),4),"")</f>
        <v/>
      </c>
      <c r="N22" s="88" t="str">
        <f t="shared" si="1"/>
        <v/>
      </c>
      <c r="O22" s="89" t="str">
        <f>IFERROR(INDEX(ListeCours[],MATCH($M$2&amp;"_"&amp;A22,ListeCours[clé_module],0),3),"")</f>
        <v/>
      </c>
      <c r="P22" s="92" t="str">
        <f>IFERROR(INDEX(ListeCours[],MATCH($M$2&amp;"_"&amp;A22,ListeCours[clé_module],0),5),"")</f>
        <v/>
      </c>
      <c r="Q22" s="92" t="str">
        <f>IFERROR(INDEX(ListeCours[],MATCH($M$2&amp;"_"&amp;A22,ListeCours[clé_module],0),6),"")</f>
        <v/>
      </c>
      <c r="R22" s="92" t="str">
        <f>IFERROR(INDEX(ListeCours[],MATCH($M$2&amp;"_"&amp;A22,ListeCours[clé_module],0),7),"")</f>
        <v/>
      </c>
    </row>
    <row r="23" spans="1:18" x14ac:dyDescent="0.25">
      <c r="A23" s="82">
        <f t="shared" si="2"/>
        <v>19</v>
      </c>
      <c r="B23" s="93" t="str">
        <f>IFERROR(INDEX(ListeCours[],MATCH($D$2&amp;"_"&amp;A23,ListeCours[clé_formateur],0),17),"")</f>
        <v/>
      </c>
      <c r="C23" s="86" t="str">
        <f>IFERROR(INDEX(ListeCours[],MATCH($D$2&amp;"_"&amp;A23,ListeCours[clé_formateur],0),2),"")</f>
        <v/>
      </c>
      <c r="D23" s="87" t="str">
        <f>IFERROR(INDEX(ListeCours[],MATCH($D$2&amp;"_"&amp;A23,ListeCours[clé_formateur],0),1),"")</f>
        <v/>
      </c>
      <c r="E23" s="88" t="str">
        <f t="shared" si="0"/>
        <v/>
      </c>
      <c r="F23" s="89" t="str">
        <f>IFERROR(INDEX(ListeCours[],MATCH($D$2&amp;"_"&amp;A23,ListeCours[clé_formateur],0),3),"")</f>
        <v/>
      </c>
      <c r="G23" s="90" t="str">
        <f>IFERROR(INDEX(ListeCours[],MATCH($D$2&amp;"_"&amp;A23,ListeCours[clé_formateur],0),5),"")</f>
        <v/>
      </c>
      <c r="H23" s="90" t="str">
        <f>IFERROR(INDEX(ListeCours[],MATCH($D$2&amp;"_"&amp;A23,ListeCours[clé_formateur],0),6),"")</f>
        <v/>
      </c>
      <c r="I23" s="90" t="str">
        <f>IFERROR(INDEX(ListeCours[],MATCH($D$2&amp;"_"&amp;A23,ListeCours[clé_formateur],0),7),"")</f>
        <v/>
      </c>
      <c r="K23" s="93" t="str">
        <f>IFERROR(INDEX(ListeCours[],MATCH($M$2&amp;"_"&amp;A23,ListeCours[clé_module],0),17),"")</f>
        <v/>
      </c>
      <c r="L23" s="86" t="str">
        <f>IFERROR(INDEX(ListeCours[],MATCH($M$2&amp;"_"&amp;A23,ListeCours[clé_module],0),2),"")</f>
        <v/>
      </c>
      <c r="M23" s="91" t="str">
        <f>IFERROR(INDEX(ListeCours[],MATCH($M$2&amp;"_"&amp;A23,ListeCours[clé_module],0),4),"")</f>
        <v/>
      </c>
      <c r="N23" s="88" t="str">
        <f t="shared" si="1"/>
        <v/>
      </c>
      <c r="O23" s="89" t="str">
        <f>IFERROR(INDEX(ListeCours[],MATCH($M$2&amp;"_"&amp;A23,ListeCours[clé_module],0),3),"")</f>
        <v/>
      </c>
      <c r="P23" s="92" t="str">
        <f>IFERROR(INDEX(ListeCours[],MATCH($M$2&amp;"_"&amp;A23,ListeCours[clé_module],0),5),"")</f>
        <v/>
      </c>
      <c r="Q23" s="92" t="str">
        <f>IFERROR(INDEX(ListeCours[],MATCH($M$2&amp;"_"&amp;A23,ListeCours[clé_module],0),6),"")</f>
        <v/>
      </c>
      <c r="R23" s="92" t="str">
        <f>IFERROR(INDEX(ListeCours[],MATCH($M$2&amp;"_"&amp;A23,ListeCours[clé_module],0),7),"")</f>
        <v/>
      </c>
    </row>
    <row r="24" spans="1:18" x14ac:dyDescent="0.25">
      <c r="A24" s="82">
        <f t="shared" si="2"/>
        <v>20</v>
      </c>
      <c r="B24" s="93" t="str">
        <f>IFERROR(INDEX(ListeCours[],MATCH($D$2&amp;"_"&amp;A24,ListeCours[clé_formateur],0),17),"")</f>
        <v/>
      </c>
      <c r="C24" s="86" t="str">
        <f>IFERROR(INDEX(ListeCours[],MATCH($D$2&amp;"_"&amp;A24,ListeCours[clé_formateur],0),2),"")</f>
        <v/>
      </c>
      <c r="D24" s="87" t="str">
        <f>IFERROR(INDEX(ListeCours[],MATCH($D$2&amp;"_"&amp;A24,ListeCours[clé_formateur],0),1),"")</f>
        <v/>
      </c>
      <c r="E24" s="88" t="str">
        <f t="shared" si="0"/>
        <v/>
      </c>
      <c r="F24" s="89" t="str">
        <f>IFERROR(INDEX(ListeCours[],MATCH($D$2&amp;"_"&amp;A24,ListeCours[clé_formateur],0),3),"")</f>
        <v/>
      </c>
      <c r="G24" s="90" t="str">
        <f>IFERROR(INDEX(ListeCours[],MATCH($D$2&amp;"_"&amp;A24,ListeCours[clé_formateur],0),5),"")</f>
        <v/>
      </c>
      <c r="H24" s="90" t="str">
        <f>IFERROR(INDEX(ListeCours[],MATCH($D$2&amp;"_"&amp;A24,ListeCours[clé_formateur],0),6),"")</f>
        <v/>
      </c>
      <c r="I24" s="90" t="str">
        <f>IFERROR(INDEX(ListeCours[],MATCH($D$2&amp;"_"&amp;A24,ListeCours[clé_formateur],0),7),"")</f>
        <v/>
      </c>
      <c r="K24" s="93" t="str">
        <f>IFERROR(INDEX(ListeCours[],MATCH($M$2&amp;"_"&amp;A24,ListeCours[clé_module],0),17),"")</f>
        <v/>
      </c>
      <c r="L24" s="86" t="str">
        <f>IFERROR(INDEX(ListeCours[],MATCH($M$2&amp;"_"&amp;A24,ListeCours[clé_module],0),2),"")</f>
        <v/>
      </c>
      <c r="M24" s="91" t="str">
        <f>IFERROR(INDEX(ListeCours[],MATCH($M$2&amp;"_"&amp;A24,ListeCours[clé_module],0),4),"")</f>
        <v/>
      </c>
      <c r="N24" s="88" t="str">
        <f t="shared" si="1"/>
        <v/>
      </c>
      <c r="O24" s="89" t="str">
        <f>IFERROR(INDEX(ListeCours[],MATCH($M$2&amp;"_"&amp;A24,ListeCours[clé_module],0),3),"")</f>
        <v/>
      </c>
      <c r="P24" s="92" t="str">
        <f>IFERROR(INDEX(ListeCours[],MATCH($M$2&amp;"_"&amp;A24,ListeCours[clé_module],0),5),"")</f>
        <v/>
      </c>
      <c r="Q24" s="92" t="str">
        <f>IFERROR(INDEX(ListeCours[],MATCH($M$2&amp;"_"&amp;A24,ListeCours[clé_module],0),6),"")</f>
        <v/>
      </c>
      <c r="R24" s="92" t="str">
        <f>IFERROR(INDEX(ListeCours[],MATCH($M$2&amp;"_"&amp;A24,ListeCours[clé_module],0),7),"")</f>
        <v/>
      </c>
    </row>
    <row r="25" spans="1:18" x14ac:dyDescent="0.25">
      <c r="A25" s="82">
        <f t="shared" si="2"/>
        <v>21</v>
      </c>
      <c r="B25" s="93" t="str">
        <f>IFERROR(INDEX(ListeCours[],MATCH($D$2&amp;"_"&amp;A25,ListeCours[clé_formateur],0),17),"")</f>
        <v/>
      </c>
      <c r="C25" s="86" t="str">
        <f>IFERROR(INDEX(ListeCours[],MATCH($D$2&amp;"_"&amp;A25,ListeCours[clé_formateur],0),2),"")</f>
        <v/>
      </c>
      <c r="D25" s="87" t="str">
        <f>IFERROR(INDEX(ListeCours[],MATCH($D$2&amp;"_"&amp;A25,ListeCours[clé_formateur],0),1),"")</f>
        <v/>
      </c>
      <c r="E25" s="88" t="str">
        <f t="shared" si="0"/>
        <v/>
      </c>
      <c r="F25" s="89" t="str">
        <f>IFERROR(INDEX(ListeCours[],MATCH($D$2&amp;"_"&amp;A25,ListeCours[clé_formateur],0),3),"")</f>
        <v/>
      </c>
      <c r="G25" s="90" t="str">
        <f>IFERROR(INDEX(ListeCours[],MATCH($D$2&amp;"_"&amp;A25,ListeCours[clé_formateur],0),5),"")</f>
        <v/>
      </c>
      <c r="H25" s="90" t="str">
        <f>IFERROR(INDEX(ListeCours[],MATCH($D$2&amp;"_"&amp;A25,ListeCours[clé_formateur],0),6),"")</f>
        <v/>
      </c>
      <c r="I25" s="90" t="str">
        <f>IFERROR(INDEX(ListeCours[],MATCH($D$2&amp;"_"&amp;A25,ListeCours[clé_formateur],0),7),"")</f>
        <v/>
      </c>
      <c r="K25" s="93" t="str">
        <f>IFERROR(INDEX(ListeCours[],MATCH($M$2&amp;"_"&amp;A25,ListeCours[clé_module],0),17),"")</f>
        <v/>
      </c>
      <c r="L25" s="86" t="str">
        <f>IFERROR(INDEX(ListeCours[],MATCH($M$2&amp;"_"&amp;A25,ListeCours[clé_module],0),2),"")</f>
        <v/>
      </c>
      <c r="M25" s="91" t="str">
        <f>IFERROR(INDEX(ListeCours[],MATCH($M$2&amp;"_"&amp;A25,ListeCours[clé_module],0),4),"")</f>
        <v/>
      </c>
      <c r="N25" s="88" t="str">
        <f t="shared" si="1"/>
        <v/>
      </c>
      <c r="O25" s="89" t="str">
        <f>IFERROR(INDEX(ListeCours[],MATCH($M$2&amp;"_"&amp;A25,ListeCours[clé_module],0),3),"")</f>
        <v/>
      </c>
      <c r="P25" s="92" t="str">
        <f>IFERROR(INDEX(ListeCours[],MATCH($M$2&amp;"_"&amp;A25,ListeCours[clé_module],0),5),"")</f>
        <v/>
      </c>
      <c r="Q25" s="92" t="str">
        <f>IFERROR(INDEX(ListeCours[],MATCH($M$2&amp;"_"&amp;A25,ListeCours[clé_module],0),6),"")</f>
        <v/>
      </c>
      <c r="R25" s="92" t="str">
        <f>IFERROR(INDEX(ListeCours[],MATCH($M$2&amp;"_"&amp;A25,ListeCours[clé_module],0),7),"")</f>
        <v/>
      </c>
    </row>
    <row r="26" spans="1:18" x14ac:dyDescent="0.25">
      <c r="A26" s="82">
        <f t="shared" si="2"/>
        <v>22</v>
      </c>
      <c r="B26" s="93" t="str">
        <f>IFERROR(INDEX(ListeCours[],MATCH($D$2&amp;"_"&amp;A26,ListeCours[clé_formateur],0),17),"")</f>
        <v/>
      </c>
      <c r="C26" s="86" t="str">
        <f>IFERROR(INDEX(ListeCours[],MATCH($D$2&amp;"_"&amp;A26,ListeCours[clé_formateur],0),2),"")</f>
        <v/>
      </c>
      <c r="D26" s="87" t="str">
        <f>IFERROR(INDEX(ListeCours[],MATCH($D$2&amp;"_"&amp;A26,ListeCours[clé_formateur],0),1),"")</f>
        <v/>
      </c>
      <c r="E26" s="88" t="str">
        <f t="shared" si="0"/>
        <v/>
      </c>
      <c r="F26" s="89" t="str">
        <f>IFERROR(INDEX(ListeCours[],MATCH($D$2&amp;"_"&amp;A26,ListeCours[clé_formateur],0),3),"")</f>
        <v/>
      </c>
      <c r="G26" s="90" t="str">
        <f>IFERROR(INDEX(ListeCours[],MATCH($D$2&amp;"_"&amp;A26,ListeCours[clé_formateur],0),5),"")</f>
        <v/>
      </c>
      <c r="H26" s="90" t="str">
        <f>IFERROR(INDEX(ListeCours[],MATCH($D$2&amp;"_"&amp;A26,ListeCours[clé_formateur],0),6),"")</f>
        <v/>
      </c>
      <c r="I26" s="90" t="str">
        <f>IFERROR(INDEX(ListeCours[],MATCH($D$2&amp;"_"&amp;A26,ListeCours[clé_formateur],0),7),"")</f>
        <v/>
      </c>
      <c r="K26" s="93" t="str">
        <f>IFERROR(INDEX(ListeCours[],MATCH($M$2&amp;"_"&amp;A26,ListeCours[clé_module],0),17),"")</f>
        <v/>
      </c>
      <c r="L26" s="86" t="str">
        <f>IFERROR(INDEX(ListeCours[],MATCH($M$2&amp;"_"&amp;A26,ListeCours[clé_module],0),2),"")</f>
        <v/>
      </c>
      <c r="M26" s="91" t="str">
        <f>IFERROR(INDEX(ListeCours[],MATCH($M$2&amp;"_"&amp;A26,ListeCours[clé_module],0),4),"")</f>
        <v/>
      </c>
      <c r="N26" s="88" t="str">
        <f t="shared" si="1"/>
        <v/>
      </c>
      <c r="O26" s="89" t="str">
        <f>IFERROR(INDEX(ListeCours[],MATCH($M$2&amp;"_"&amp;A26,ListeCours[clé_module],0),3),"")</f>
        <v/>
      </c>
      <c r="P26" s="92" t="str">
        <f>IFERROR(INDEX(ListeCours[],MATCH($M$2&amp;"_"&amp;A26,ListeCours[clé_module],0),5),"")</f>
        <v/>
      </c>
      <c r="Q26" s="92" t="str">
        <f>IFERROR(INDEX(ListeCours[],MATCH($M$2&amp;"_"&amp;A26,ListeCours[clé_module],0),6),"")</f>
        <v/>
      </c>
      <c r="R26" s="92" t="str">
        <f>IFERROR(INDEX(ListeCours[],MATCH($M$2&amp;"_"&amp;A26,ListeCours[clé_module],0),7),"")</f>
        <v/>
      </c>
    </row>
    <row r="27" spans="1:18" x14ac:dyDescent="0.25">
      <c r="A27" s="82">
        <f t="shared" si="2"/>
        <v>23</v>
      </c>
      <c r="B27" s="93" t="str">
        <f>IFERROR(INDEX(ListeCours[],MATCH($D$2&amp;"_"&amp;A27,ListeCours[clé_formateur],0),17),"")</f>
        <v/>
      </c>
      <c r="C27" s="86" t="str">
        <f>IFERROR(INDEX(ListeCours[],MATCH($D$2&amp;"_"&amp;A27,ListeCours[clé_formateur],0),2),"")</f>
        <v/>
      </c>
      <c r="D27" s="87" t="str">
        <f>IFERROR(INDEX(ListeCours[],MATCH($D$2&amp;"_"&amp;A27,ListeCours[clé_formateur],0),1),"")</f>
        <v/>
      </c>
      <c r="E27" s="88" t="str">
        <f t="shared" si="0"/>
        <v/>
      </c>
      <c r="F27" s="89" t="str">
        <f>IFERROR(INDEX(ListeCours[],MATCH($D$2&amp;"_"&amp;A27,ListeCours[clé_formateur],0),3),"")</f>
        <v/>
      </c>
      <c r="G27" s="90" t="str">
        <f>IFERROR(INDEX(ListeCours[],MATCH($D$2&amp;"_"&amp;A27,ListeCours[clé_formateur],0),5),"")</f>
        <v/>
      </c>
      <c r="H27" s="90" t="str">
        <f>IFERROR(INDEX(ListeCours[],MATCH($D$2&amp;"_"&amp;A27,ListeCours[clé_formateur],0),6),"")</f>
        <v/>
      </c>
      <c r="I27" s="90" t="str">
        <f>IFERROR(INDEX(ListeCours[],MATCH($D$2&amp;"_"&amp;A27,ListeCours[clé_formateur],0),7),"")</f>
        <v/>
      </c>
      <c r="K27" s="93" t="str">
        <f>IFERROR(INDEX(ListeCours[],MATCH($M$2&amp;"_"&amp;A27,ListeCours[clé_module],0),17),"")</f>
        <v/>
      </c>
      <c r="L27" s="86" t="str">
        <f>IFERROR(INDEX(ListeCours[],MATCH($M$2&amp;"_"&amp;A27,ListeCours[clé_module],0),2),"")</f>
        <v/>
      </c>
      <c r="M27" s="91" t="str">
        <f>IFERROR(INDEX(ListeCours[],MATCH($M$2&amp;"_"&amp;A27,ListeCours[clé_module],0),4),"")</f>
        <v/>
      </c>
      <c r="N27" s="88" t="str">
        <f t="shared" si="1"/>
        <v/>
      </c>
      <c r="O27" s="89" t="str">
        <f>IFERROR(INDEX(ListeCours[],MATCH($M$2&amp;"_"&amp;A27,ListeCours[clé_module],0),3),"")</f>
        <v/>
      </c>
      <c r="P27" s="92" t="str">
        <f>IFERROR(INDEX(ListeCours[],MATCH($M$2&amp;"_"&amp;A27,ListeCours[clé_module],0),5),"")</f>
        <v/>
      </c>
      <c r="Q27" s="92" t="str">
        <f>IFERROR(INDEX(ListeCours[],MATCH($M$2&amp;"_"&amp;A27,ListeCours[clé_module],0),6),"")</f>
        <v/>
      </c>
      <c r="R27" s="92" t="str">
        <f>IFERROR(INDEX(ListeCours[],MATCH($M$2&amp;"_"&amp;A27,ListeCours[clé_module],0),7),"")</f>
        <v/>
      </c>
    </row>
    <row r="28" spans="1:18" x14ac:dyDescent="0.25">
      <c r="A28" s="82">
        <f t="shared" si="2"/>
        <v>24</v>
      </c>
      <c r="B28" s="93" t="str">
        <f>IFERROR(INDEX(ListeCours[],MATCH($D$2&amp;"_"&amp;A28,ListeCours[clé_formateur],0),17),"")</f>
        <v/>
      </c>
      <c r="C28" s="86" t="str">
        <f>IFERROR(INDEX(ListeCours[],MATCH($D$2&amp;"_"&amp;A28,ListeCours[clé_formateur],0),2),"")</f>
        <v/>
      </c>
      <c r="D28" s="87" t="str">
        <f>IFERROR(INDEX(ListeCours[],MATCH($D$2&amp;"_"&amp;A28,ListeCours[clé_formateur],0),1),"")</f>
        <v/>
      </c>
      <c r="E28" s="88" t="str">
        <f t="shared" si="0"/>
        <v/>
      </c>
      <c r="F28" s="89" t="str">
        <f>IFERROR(INDEX(ListeCours[],MATCH($D$2&amp;"_"&amp;A28,ListeCours[clé_formateur],0),3),"")</f>
        <v/>
      </c>
      <c r="G28" s="90" t="str">
        <f>IFERROR(INDEX(ListeCours[],MATCH($D$2&amp;"_"&amp;A28,ListeCours[clé_formateur],0),5),"")</f>
        <v/>
      </c>
      <c r="H28" s="90" t="str">
        <f>IFERROR(INDEX(ListeCours[],MATCH($D$2&amp;"_"&amp;A28,ListeCours[clé_formateur],0),6),"")</f>
        <v/>
      </c>
      <c r="I28" s="90" t="str">
        <f>IFERROR(INDEX(ListeCours[],MATCH($D$2&amp;"_"&amp;A28,ListeCours[clé_formateur],0),7),"")</f>
        <v/>
      </c>
      <c r="K28" s="93" t="str">
        <f>IFERROR(INDEX(ListeCours[],MATCH($M$2&amp;"_"&amp;A28,ListeCours[clé_module],0),17),"")</f>
        <v/>
      </c>
      <c r="L28" s="86" t="str">
        <f>IFERROR(INDEX(ListeCours[],MATCH($M$2&amp;"_"&amp;A28,ListeCours[clé_module],0),2),"")</f>
        <v/>
      </c>
      <c r="M28" s="91" t="str">
        <f>IFERROR(INDEX(ListeCours[],MATCH($M$2&amp;"_"&amp;A28,ListeCours[clé_module],0),4),"")</f>
        <v/>
      </c>
      <c r="N28" s="88" t="str">
        <f t="shared" si="1"/>
        <v/>
      </c>
      <c r="O28" s="89" t="str">
        <f>IFERROR(INDEX(ListeCours[],MATCH($M$2&amp;"_"&amp;A28,ListeCours[clé_module],0),3),"")</f>
        <v/>
      </c>
      <c r="P28" s="92" t="str">
        <f>IFERROR(INDEX(ListeCours[],MATCH($M$2&amp;"_"&amp;A28,ListeCours[clé_module],0),5),"")</f>
        <v/>
      </c>
      <c r="Q28" s="92" t="str">
        <f>IFERROR(INDEX(ListeCours[],MATCH($M$2&amp;"_"&amp;A28,ListeCours[clé_module],0),6),"")</f>
        <v/>
      </c>
      <c r="R28" s="92" t="str">
        <f>IFERROR(INDEX(ListeCours[],MATCH($M$2&amp;"_"&amp;A28,ListeCours[clé_module],0),7),"")</f>
        <v/>
      </c>
    </row>
    <row r="29" spans="1:18" x14ac:dyDescent="0.25">
      <c r="A29" s="82">
        <f t="shared" si="2"/>
        <v>25</v>
      </c>
      <c r="B29" s="93" t="str">
        <f>IFERROR(INDEX(ListeCours[],MATCH($D$2&amp;"_"&amp;A29,ListeCours[clé_formateur],0),17),"")</f>
        <v/>
      </c>
      <c r="C29" s="86" t="str">
        <f>IFERROR(INDEX(ListeCours[],MATCH($D$2&amp;"_"&amp;A29,ListeCours[clé_formateur],0),2),"")</f>
        <v/>
      </c>
      <c r="D29" s="87" t="str">
        <f>IFERROR(INDEX(ListeCours[],MATCH($D$2&amp;"_"&amp;A29,ListeCours[clé_formateur],0),1),"")</f>
        <v/>
      </c>
      <c r="E29" s="88" t="str">
        <f t="shared" si="0"/>
        <v/>
      </c>
      <c r="F29" s="89" t="str">
        <f>IFERROR(INDEX(ListeCours[],MATCH($D$2&amp;"_"&amp;A29,ListeCours[clé_formateur],0),3),"")</f>
        <v/>
      </c>
      <c r="G29" s="90" t="str">
        <f>IFERROR(INDEX(ListeCours[],MATCH($D$2&amp;"_"&amp;A29,ListeCours[clé_formateur],0),5),"")</f>
        <v/>
      </c>
      <c r="H29" s="90" t="str">
        <f>IFERROR(INDEX(ListeCours[],MATCH($D$2&amp;"_"&amp;A29,ListeCours[clé_formateur],0),6),"")</f>
        <v/>
      </c>
      <c r="I29" s="90" t="str">
        <f>IFERROR(INDEX(ListeCours[],MATCH($D$2&amp;"_"&amp;A29,ListeCours[clé_formateur],0),7),"")</f>
        <v/>
      </c>
      <c r="K29" s="93" t="str">
        <f>IFERROR(INDEX(ListeCours[],MATCH($M$2&amp;"_"&amp;A29,ListeCours[clé_module],0),17),"")</f>
        <v/>
      </c>
      <c r="L29" s="86" t="str">
        <f>IFERROR(INDEX(ListeCours[],MATCH($M$2&amp;"_"&amp;A29,ListeCours[clé_module],0),2),"")</f>
        <v/>
      </c>
      <c r="M29" s="91" t="str">
        <f>IFERROR(INDEX(ListeCours[],MATCH($M$2&amp;"_"&amp;A29,ListeCours[clé_module],0),4),"")</f>
        <v/>
      </c>
      <c r="N29" s="88" t="str">
        <f t="shared" si="1"/>
        <v/>
      </c>
      <c r="O29" s="89" t="str">
        <f>IFERROR(INDEX(ListeCours[],MATCH($M$2&amp;"_"&amp;A29,ListeCours[clé_module],0),3),"")</f>
        <v/>
      </c>
      <c r="P29" s="92" t="str">
        <f>IFERROR(INDEX(ListeCours[],MATCH($M$2&amp;"_"&amp;A29,ListeCours[clé_module],0),5),"")</f>
        <v/>
      </c>
      <c r="Q29" s="92" t="str">
        <f>IFERROR(INDEX(ListeCours[],MATCH($M$2&amp;"_"&amp;A29,ListeCours[clé_module],0),6),"")</f>
        <v/>
      </c>
      <c r="R29" s="92" t="str">
        <f>IFERROR(INDEX(ListeCours[],MATCH($M$2&amp;"_"&amp;A29,ListeCours[clé_module],0),7),"")</f>
        <v/>
      </c>
    </row>
    <row r="30" spans="1:18" x14ac:dyDescent="0.25">
      <c r="A30" s="82">
        <f t="shared" si="2"/>
        <v>26</v>
      </c>
      <c r="B30" s="93" t="str">
        <f>IFERROR(INDEX(ListeCours[],MATCH($D$2&amp;"_"&amp;A30,ListeCours[clé_formateur],0),17),"")</f>
        <v/>
      </c>
      <c r="C30" s="86" t="str">
        <f>IFERROR(INDEX(ListeCours[],MATCH($D$2&amp;"_"&amp;A30,ListeCours[clé_formateur],0),2),"")</f>
        <v/>
      </c>
      <c r="D30" s="87" t="str">
        <f>IFERROR(INDEX(ListeCours[],MATCH($D$2&amp;"_"&amp;A30,ListeCours[clé_formateur],0),1),"")</f>
        <v/>
      </c>
      <c r="E30" s="88" t="str">
        <f t="shared" si="0"/>
        <v/>
      </c>
      <c r="F30" s="89" t="str">
        <f>IFERROR(INDEX(ListeCours[],MATCH($D$2&amp;"_"&amp;A30,ListeCours[clé_formateur],0),3),"")</f>
        <v/>
      </c>
      <c r="G30" s="90" t="str">
        <f>IFERROR(INDEX(ListeCours[],MATCH($D$2&amp;"_"&amp;A30,ListeCours[clé_formateur],0),5),"")</f>
        <v/>
      </c>
      <c r="H30" s="90" t="str">
        <f>IFERROR(INDEX(ListeCours[],MATCH($D$2&amp;"_"&amp;A30,ListeCours[clé_formateur],0),6),"")</f>
        <v/>
      </c>
      <c r="I30" s="90" t="str">
        <f>IFERROR(INDEX(ListeCours[],MATCH($D$2&amp;"_"&amp;A30,ListeCours[clé_formateur],0),7),"")</f>
        <v/>
      </c>
      <c r="K30" s="93" t="str">
        <f>IFERROR(INDEX(ListeCours[],MATCH($M$2&amp;"_"&amp;A30,ListeCours[clé_module],0),17),"")</f>
        <v/>
      </c>
      <c r="L30" s="86" t="str">
        <f>IFERROR(INDEX(ListeCours[],MATCH($M$2&amp;"_"&amp;A30,ListeCours[clé_module],0),2),"")</f>
        <v/>
      </c>
      <c r="M30" s="91" t="str">
        <f>IFERROR(INDEX(ListeCours[],MATCH($M$2&amp;"_"&amp;A30,ListeCours[clé_module],0),4),"")</f>
        <v/>
      </c>
      <c r="N30" s="88" t="str">
        <f t="shared" si="1"/>
        <v/>
      </c>
      <c r="O30" s="89" t="str">
        <f>IFERROR(INDEX(ListeCours[],MATCH($M$2&amp;"_"&amp;A30,ListeCours[clé_module],0),3),"")</f>
        <v/>
      </c>
      <c r="P30" s="92" t="str">
        <f>IFERROR(INDEX(ListeCours[],MATCH($M$2&amp;"_"&amp;A30,ListeCours[clé_module],0),5),"")</f>
        <v/>
      </c>
      <c r="Q30" s="92" t="str">
        <f>IFERROR(INDEX(ListeCours[],MATCH($M$2&amp;"_"&amp;A30,ListeCours[clé_module],0),6),"")</f>
        <v/>
      </c>
      <c r="R30" s="92" t="str">
        <f>IFERROR(INDEX(ListeCours[],MATCH($M$2&amp;"_"&amp;A30,ListeCours[clé_module],0),7),"")</f>
        <v/>
      </c>
    </row>
    <row r="31" spans="1:18" x14ac:dyDescent="0.25">
      <c r="A31" s="82">
        <f t="shared" si="2"/>
        <v>27</v>
      </c>
      <c r="B31" s="93" t="str">
        <f>IFERROR(INDEX(ListeCours[],MATCH($D$2&amp;"_"&amp;A31,ListeCours[clé_formateur],0),17),"")</f>
        <v/>
      </c>
      <c r="C31" s="86" t="str">
        <f>IFERROR(INDEX(ListeCours[],MATCH($D$2&amp;"_"&amp;A31,ListeCours[clé_formateur],0),2),"")</f>
        <v/>
      </c>
      <c r="D31" s="87" t="str">
        <f>IFERROR(INDEX(ListeCours[],MATCH($D$2&amp;"_"&amp;A31,ListeCours[clé_formateur],0),1),"")</f>
        <v/>
      </c>
      <c r="E31" s="88" t="str">
        <f t="shared" si="0"/>
        <v/>
      </c>
      <c r="F31" s="89" t="str">
        <f>IFERROR(INDEX(ListeCours[],MATCH($D$2&amp;"_"&amp;A31,ListeCours[clé_formateur],0),3),"")</f>
        <v/>
      </c>
      <c r="G31" s="90" t="str">
        <f>IFERROR(INDEX(ListeCours[],MATCH($D$2&amp;"_"&amp;A31,ListeCours[clé_formateur],0),5),"")</f>
        <v/>
      </c>
      <c r="H31" s="90" t="str">
        <f>IFERROR(INDEX(ListeCours[],MATCH($D$2&amp;"_"&amp;A31,ListeCours[clé_formateur],0),6),"")</f>
        <v/>
      </c>
      <c r="I31" s="90" t="str">
        <f>IFERROR(INDEX(ListeCours[],MATCH($D$2&amp;"_"&amp;A31,ListeCours[clé_formateur],0),7),"")</f>
        <v/>
      </c>
      <c r="K31" s="93" t="str">
        <f>IFERROR(INDEX(ListeCours[],MATCH($M$2&amp;"_"&amp;A31,ListeCours[clé_module],0),17),"")</f>
        <v/>
      </c>
      <c r="L31" s="86" t="str">
        <f>IFERROR(INDEX(ListeCours[],MATCH($M$2&amp;"_"&amp;A31,ListeCours[clé_module],0),2),"")</f>
        <v/>
      </c>
      <c r="M31" s="91" t="str">
        <f>IFERROR(INDEX(ListeCours[],MATCH($M$2&amp;"_"&amp;A31,ListeCours[clé_module],0),4),"")</f>
        <v/>
      </c>
      <c r="N31" s="88" t="str">
        <f t="shared" si="1"/>
        <v/>
      </c>
      <c r="O31" s="89" t="str">
        <f>IFERROR(INDEX(ListeCours[],MATCH($M$2&amp;"_"&amp;A31,ListeCours[clé_module],0),3),"")</f>
        <v/>
      </c>
      <c r="P31" s="92" t="str">
        <f>IFERROR(INDEX(ListeCours[],MATCH($M$2&amp;"_"&amp;A31,ListeCours[clé_module],0),5),"")</f>
        <v/>
      </c>
      <c r="Q31" s="92" t="str">
        <f>IFERROR(INDEX(ListeCours[],MATCH($M$2&amp;"_"&amp;A31,ListeCours[clé_module],0),6),"")</f>
        <v/>
      </c>
      <c r="R31" s="92" t="str">
        <f>IFERROR(INDEX(ListeCours[],MATCH($M$2&amp;"_"&amp;A31,ListeCours[clé_module],0),7),"")</f>
        <v/>
      </c>
    </row>
    <row r="32" spans="1:18" x14ac:dyDescent="0.25">
      <c r="A32" s="82">
        <f t="shared" si="2"/>
        <v>28</v>
      </c>
      <c r="B32" s="93" t="str">
        <f>IFERROR(INDEX(ListeCours[],MATCH($D$2&amp;"_"&amp;A32,ListeCours[clé_formateur],0),17),"")</f>
        <v/>
      </c>
      <c r="C32" s="86" t="str">
        <f>IFERROR(INDEX(ListeCours[],MATCH($D$2&amp;"_"&amp;A32,ListeCours[clé_formateur],0),2),"")</f>
        <v/>
      </c>
      <c r="D32" s="87" t="str">
        <f>IFERROR(INDEX(ListeCours[],MATCH($D$2&amp;"_"&amp;A32,ListeCours[clé_formateur],0),1),"")</f>
        <v/>
      </c>
      <c r="E32" s="88" t="str">
        <f t="shared" si="0"/>
        <v/>
      </c>
      <c r="F32" s="89" t="str">
        <f>IFERROR(INDEX(ListeCours[],MATCH($D$2&amp;"_"&amp;A32,ListeCours[clé_formateur],0),3),"")</f>
        <v/>
      </c>
      <c r="G32" s="90" t="str">
        <f>IFERROR(INDEX(ListeCours[],MATCH($D$2&amp;"_"&amp;A32,ListeCours[clé_formateur],0),5),"")</f>
        <v/>
      </c>
      <c r="H32" s="90" t="str">
        <f>IFERROR(INDEX(ListeCours[],MATCH($D$2&amp;"_"&amp;A32,ListeCours[clé_formateur],0),6),"")</f>
        <v/>
      </c>
      <c r="I32" s="90" t="str">
        <f>IFERROR(INDEX(ListeCours[],MATCH($D$2&amp;"_"&amp;A32,ListeCours[clé_formateur],0),7),"")</f>
        <v/>
      </c>
      <c r="K32" s="93" t="str">
        <f>IFERROR(INDEX(ListeCours[],MATCH($M$2&amp;"_"&amp;A32,ListeCours[clé_module],0),17),"")</f>
        <v/>
      </c>
      <c r="L32" s="86" t="str">
        <f>IFERROR(INDEX(ListeCours[],MATCH($M$2&amp;"_"&amp;A32,ListeCours[clé_module],0),2),"")</f>
        <v/>
      </c>
      <c r="M32" s="91" t="str">
        <f>IFERROR(INDEX(ListeCours[],MATCH($M$2&amp;"_"&amp;A32,ListeCours[clé_module],0),4),"")</f>
        <v/>
      </c>
      <c r="N32" s="88" t="str">
        <f t="shared" si="1"/>
        <v/>
      </c>
      <c r="O32" s="89" t="str">
        <f>IFERROR(INDEX(ListeCours[],MATCH($M$2&amp;"_"&amp;A32,ListeCours[clé_module],0),3),"")</f>
        <v/>
      </c>
      <c r="P32" s="92" t="str">
        <f>IFERROR(INDEX(ListeCours[],MATCH($M$2&amp;"_"&amp;A32,ListeCours[clé_module],0),5),"")</f>
        <v/>
      </c>
      <c r="Q32" s="92" t="str">
        <f>IFERROR(INDEX(ListeCours[],MATCH($M$2&amp;"_"&amp;A32,ListeCours[clé_module],0),6),"")</f>
        <v/>
      </c>
      <c r="R32" s="92" t="str">
        <f>IFERROR(INDEX(ListeCours[],MATCH($M$2&amp;"_"&amp;A32,ListeCours[clé_module],0),7),"")</f>
        <v/>
      </c>
    </row>
    <row r="33" spans="1:19" x14ac:dyDescent="0.25">
      <c r="A33" s="82">
        <f t="shared" si="2"/>
        <v>29</v>
      </c>
      <c r="B33" s="93" t="str">
        <f>IFERROR(INDEX(ListeCours[],MATCH($D$2&amp;"_"&amp;A33,ListeCours[clé_formateur],0),17),"")</f>
        <v/>
      </c>
      <c r="C33" s="86" t="str">
        <f>IFERROR(INDEX(ListeCours[],MATCH($D$2&amp;"_"&amp;A33,ListeCours[clé_formateur],0),2),"")</f>
        <v/>
      </c>
      <c r="D33" s="87" t="str">
        <f>IFERROR(INDEX(ListeCours[],MATCH($D$2&amp;"_"&amp;A33,ListeCours[clé_formateur],0),1),"")</f>
        <v/>
      </c>
      <c r="E33" s="88" t="str">
        <f t="shared" si="0"/>
        <v/>
      </c>
      <c r="F33" s="89" t="str">
        <f>IFERROR(INDEX(ListeCours[],MATCH($D$2&amp;"_"&amp;A33,ListeCours[clé_formateur],0),3),"")</f>
        <v/>
      </c>
      <c r="G33" s="90" t="str">
        <f>IFERROR(INDEX(ListeCours[],MATCH($D$2&amp;"_"&amp;A33,ListeCours[clé_formateur],0),5),"")</f>
        <v/>
      </c>
      <c r="H33" s="90" t="str">
        <f>IFERROR(INDEX(ListeCours[],MATCH($D$2&amp;"_"&amp;A33,ListeCours[clé_formateur],0),6),"")</f>
        <v/>
      </c>
      <c r="I33" s="90" t="str">
        <f>IFERROR(INDEX(ListeCours[],MATCH($D$2&amp;"_"&amp;A33,ListeCours[clé_formateur],0),7),"")</f>
        <v/>
      </c>
      <c r="K33" s="93" t="str">
        <f>IFERROR(INDEX(ListeCours[],MATCH($M$2&amp;"_"&amp;A33,ListeCours[clé_module],0),17),"")</f>
        <v/>
      </c>
      <c r="L33" s="86" t="str">
        <f>IFERROR(INDEX(ListeCours[],MATCH($M$2&amp;"_"&amp;A33,ListeCours[clé_module],0),2),"")</f>
        <v/>
      </c>
      <c r="M33" s="91" t="str">
        <f>IFERROR(INDEX(ListeCours[],MATCH($M$2&amp;"_"&amp;A33,ListeCours[clé_module],0),4),"")</f>
        <v/>
      </c>
      <c r="N33" s="88" t="str">
        <f t="shared" si="1"/>
        <v/>
      </c>
      <c r="O33" s="89" t="str">
        <f>IFERROR(INDEX(ListeCours[],MATCH($M$2&amp;"_"&amp;A33,ListeCours[clé_module],0),3),"")</f>
        <v/>
      </c>
      <c r="P33" s="92" t="str">
        <f>IFERROR(INDEX(ListeCours[],MATCH($M$2&amp;"_"&amp;A33,ListeCours[clé_module],0),5),"")</f>
        <v/>
      </c>
      <c r="Q33" s="92" t="str">
        <f>IFERROR(INDEX(ListeCours[],MATCH($M$2&amp;"_"&amp;A33,ListeCours[clé_module],0),6),"")</f>
        <v/>
      </c>
      <c r="R33" s="92" t="str">
        <f>IFERROR(INDEX(ListeCours[],MATCH($M$2&amp;"_"&amp;A33,ListeCours[clé_module],0),7),"")</f>
        <v/>
      </c>
    </row>
    <row r="34" spans="1:19" x14ac:dyDescent="0.25">
      <c r="A34" s="82">
        <f t="shared" si="2"/>
        <v>30</v>
      </c>
      <c r="B34" s="93" t="str">
        <f>IFERROR(INDEX(ListeCours[],MATCH($D$2&amp;"_"&amp;A34,ListeCours[clé_formateur],0),17),"")</f>
        <v/>
      </c>
      <c r="C34" s="86" t="str">
        <f>IFERROR(INDEX(ListeCours[],MATCH($D$2&amp;"_"&amp;A34,ListeCours[clé_formateur],0),2),"")</f>
        <v/>
      </c>
      <c r="D34" s="87" t="str">
        <f>IFERROR(INDEX(ListeCours[],MATCH($D$2&amp;"_"&amp;A34,ListeCours[clé_formateur],0),1),"")</f>
        <v/>
      </c>
      <c r="E34" s="88" t="str">
        <f t="shared" si="0"/>
        <v/>
      </c>
      <c r="F34" s="89" t="str">
        <f>IFERROR(INDEX(ListeCours[],MATCH($D$2&amp;"_"&amp;A34,ListeCours[clé_formateur],0),3),"")</f>
        <v/>
      </c>
      <c r="G34" s="90" t="str">
        <f>IFERROR(INDEX(ListeCours[],MATCH($D$2&amp;"_"&amp;A34,ListeCours[clé_formateur],0),5),"")</f>
        <v/>
      </c>
      <c r="H34" s="90" t="str">
        <f>IFERROR(INDEX(ListeCours[],MATCH($D$2&amp;"_"&amp;A34,ListeCours[clé_formateur],0),6),"")</f>
        <v/>
      </c>
      <c r="I34" s="90" t="str">
        <f>IFERROR(INDEX(ListeCours[],MATCH($D$2&amp;"_"&amp;A34,ListeCours[clé_formateur],0),7),"")</f>
        <v/>
      </c>
      <c r="K34" s="93" t="str">
        <f>IFERROR(INDEX(ListeCours[],MATCH($M$2&amp;"_"&amp;A34,ListeCours[clé_module],0),17),"")</f>
        <v/>
      </c>
      <c r="L34" s="86" t="str">
        <f>IFERROR(INDEX(ListeCours[],MATCH($M$2&amp;"_"&amp;A34,ListeCours[clé_module],0),2),"")</f>
        <v/>
      </c>
      <c r="M34" s="91" t="str">
        <f>IFERROR(INDEX(ListeCours[],MATCH($M$2&amp;"_"&amp;A34,ListeCours[clé_module],0),4),"")</f>
        <v/>
      </c>
      <c r="N34" s="88" t="str">
        <f t="shared" si="1"/>
        <v/>
      </c>
      <c r="O34" s="89" t="str">
        <f>IFERROR(INDEX(ListeCours[],MATCH($M$2&amp;"_"&amp;A34,ListeCours[clé_module],0),3),"")</f>
        <v/>
      </c>
      <c r="P34" s="92" t="str">
        <f>IFERROR(INDEX(ListeCours[],MATCH($M$2&amp;"_"&amp;A34,ListeCours[clé_module],0),5),"")</f>
        <v/>
      </c>
      <c r="Q34" s="92" t="str">
        <f>IFERROR(INDEX(ListeCours[],MATCH($M$2&amp;"_"&amp;A34,ListeCours[clé_module],0),6),"")</f>
        <v/>
      </c>
      <c r="R34" s="92" t="str">
        <f>IFERROR(INDEX(ListeCours[],MATCH($M$2&amp;"_"&amp;A34,ListeCours[clé_module],0),7),"")</f>
        <v/>
      </c>
    </row>
    <row r="35" spans="1:19" x14ac:dyDescent="0.25">
      <c r="A35" s="82">
        <f t="shared" si="2"/>
        <v>31</v>
      </c>
      <c r="B35" s="93" t="str">
        <f>IFERROR(INDEX(ListeCours[],MATCH($D$2&amp;"_"&amp;A35,ListeCours[clé_formateur],0),17),"")</f>
        <v/>
      </c>
      <c r="C35" s="86" t="str">
        <f>IFERROR(INDEX(ListeCours[],MATCH($D$2&amp;"_"&amp;A35,ListeCours[clé_formateur],0),2),"")</f>
        <v/>
      </c>
      <c r="D35" s="87" t="str">
        <f>IFERROR(INDEX(ListeCours[],MATCH($D$2&amp;"_"&amp;A35,ListeCours[clé_formateur],0),1),"")</f>
        <v/>
      </c>
      <c r="E35" s="88" t="str">
        <f t="shared" si="0"/>
        <v/>
      </c>
      <c r="F35" s="89" t="str">
        <f>IFERROR(INDEX(ListeCours[],MATCH($D$2&amp;"_"&amp;A35,ListeCours[clé_formateur],0),3),"")</f>
        <v/>
      </c>
      <c r="G35" s="90" t="str">
        <f>IFERROR(INDEX(ListeCours[],MATCH($D$2&amp;"_"&amp;A35,ListeCours[clé_formateur],0),5),"")</f>
        <v/>
      </c>
      <c r="H35" s="90" t="str">
        <f>IFERROR(INDEX(ListeCours[],MATCH($D$2&amp;"_"&amp;A35,ListeCours[clé_formateur],0),6),"")</f>
        <v/>
      </c>
      <c r="I35" s="90" t="str">
        <f>IFERROR(INDEX(ListeCours[],MATCH($D$2&amp;"_"&amp;A35,ListeCours[clé_formateur],0),7),"")</f>
        <v/>
      </c>
      <c r="K35" s="93" t="str">
        <f>IFERROR(INDEX(ListeCours[],MATCH($M$2&amp;"_"&amp;A35,ListeCours[clé_module],0),17),"")</f>
        <v/>
      </c>
      <c r="L35" s="86" t="str">
        <f>IFERROR(INDEX(ListeCours[],MATCH($M$2&amp;"_"&amp;A35,ListeCours[clé_module],0),2),"")</f>
        <v/>
      </c>
      <c r="M35" s="91" t="str">
        <f>IFERROR(INDEX(ListeCours[],MATCH($M$2&amp;"_"&amp;A35,ListeCours[clé_module],0),4),"")</f>
        <v/>
      </c>
      <c r="N35" s="88" t="str">
        <f t="shared" si="1"/>
        <v/>
      </c>
      <c r="O35" s="89" t="str">
        <f>IFERROR(INDEX(ListeCours[],MATCH($M$2&amp;"_"&amp;A35,ListeCours[clé_module],0),3),"")</f>
        <v/>
      </c>
      <c r="P35" s="92" t="str">
        <f>IFERROR(INDEX(ListeCours[],MATCH($M$2&amp;"_"&amp;A35,ListeCours[clé_module],0),5),"")</f>
        <v/>
      </c>
      <c r="Q35" s="92" t="str">
        <f>IFERROR(INDEX(ListeCours[],MATCH($M$2&amp;"_"&amp;A35,ListeCours[clé_module],0),6),"")</f>
        <v/>
      </c>
      <c r="R35" s="92" t="str">
        <f>IFERROR(INDEX(ListeCours[],MATCH($M$2&amp;"_"&amp;A35,ListeCours[clé_module],0),7),"")</f>
        <v/>
      </c>
    </row>
    <row r="36" spans="1:19" x14ac:dyDescent="0.25">
      <c r="A36" s="82">
        <f t="shared" si="2"/>
        <v>32</v>
      </c>
      <c r="B36" s="93" t="str">
        <f>IFERROR(INDEX(ListeCours[],MATCH($D$2&amp;"_"&amp;A36,ListeCours[clé_formateur],0),17),"")</f>
        <v/>
      </c>
      <c r="C36" s="86" t="str">
        <f>IFERROR(INDEX(ListeCours[],MATCH($D$2&amp;"_"&amp;A36,ListeCours[clé_formateur],0),2),"")</f>
        <v/>
      </c>
      <c r="D36" s="87" t="str">
        <f>IFERROR(INDEX(ListeCours[],MATCH($D$2&amp;"_"&amp;A36,ListeCours[clé_formateur],0),1),"")</f>
        <v/>
      </c>
      <c r="E36" s="88" t="str">
        <f t="shared" si="0"/>
        <v/>
      </c>
      <c r="F36" s="89" t="str">
        <f>IFERROR(INDEX(ListeCours[],MATCH($D$2&amp;"_"&amp;A36,ListeCours[clé_formateur],0),3),"")</f>
        <v/>
      </c>
      <c r="G36" s="90" t="str">
        <f>IFERROR(INDEX(ListeCours[],MATCH($D$2&amp;"_"&amp;A36,ListeCours[clé_formateur],0),5),"")</f>
        <v/>
      </c>
      <c r="H36" s="90" t="str">
        <f>IFERROR(INDEX(ListeCours[],MATCH($D$2&amp;"_"&amp;A36,ListeCours[clé_formateur],0),6),"")</f>
        <v/>
      </c>
      <c r="I36" s="90" t="str">
        <f>IFERROR(INDEX(ListeCours[],MATCH($D$2&amp;"_"&amp;A36,ListeCours[clé_formateur],0),7),"")</f>
        <v/>
      </c>
      <c r="K36" s="93" t="str">
        <f>IFERROR(INDEX(ListeCours[],MATCH($M$2&amp;"_"&amp;A36,ListeCours[clé_module],0),17),"")</f>
        <v/>
      </c>
      <c r="L36" s="86" t="str">
        <f>IFERROR(INDEX(ListeCours[],MATCH($M$2&amp;"_"&amp;A36,ListeCours[clé_module],0),2),"")</f>
        <v/>
      </c>
      <c r="M36" s="91" t="str">
        <f>IFERROR(INDEX(ListeCours[],MATCH($M$2&amp;"_"&amp;A36,ListeCours[clé_module],0),4),"")</f>
        <v/>
      </c>
      <c r="N36" s="88" t="str">
        <f t="shared" si="1"/>
        <v/>
      </c>
      <c r="O36" s="89" t="str">
        <f>IFERROR(INDEX(ListeCours[],MATCH($M$2&amp;"_"&amp;A36,ListeCours[clé_module],0),3),"")</f>
        <v/>
      </c>
      <c r="P36" s="92" t="str">
        <f>IFERROR(INDEX(ListeCours[],MATCH($M$2&amp;"_"&amp;A36,ListeCours[clé_module],0),5),"")</f>
        <v/>
      </c>
      <c r="Q36" s="92" t="str">
        <f>IFERROR(INDEX(ListeCours[],MATCH($M$2&amp;"_"&amp;A36,ListeCours[clé_module],0),6),"")</f>
        <v/>
      </c>
      <c r="R36" s="92" t="str">
        <f>IFERROR(INDEX(ListeCours[],MATCH($M$2&amp;"_"&amp;A36,ListeCours[clé_module],0),7),"")</f>
        <v/>
      </c>
    </row>
    <row r="37" spans="1:19" x14ac:dyDescent="0.25">
      <c r="A37" s="82">
        <f t="shared" si="2"/>
        <v>33</v>
      </c>
      <c r="B37" s="93" t="str">
        <f>IFERROR(INDEX(ListeCours[],MATCH($D$2&amp;"_"&amp;A37,ListeCours[clé_formateur],0),17),"")</f>
        <v/>
      </c>
      <c r="C37" s="86" t="str">
        <f>IFERROR(INDEX(ListeCours[],MATCH($D$2&amp;"_"&amp;A37,ListeCours[clé_formateur],0),2),"")</f>
        <v/>
      </c>
      <c r="D37" s="87" t="str">
        <f>IFERROR(INDEX(ListeCours[],MATCH($D$2&amp;"_"&amp;A37,ListeCours[clé_formateur],0),1),"")</f>
        <v/>
      </c>
      <c r="E37" s="88" t="str">
        <f t="shared" si="0"/>
        <v/>
      </c>
      <c r="F37" s="89" t="str">
        <f>IFERROR(INDEX(ListeCours[],MATCH($D$2&amp;"_"&amp;A37,ListeCours[clé_formateur],0),3),"")</f>
        <v/>
      </c>
      <c r="G37" s="90" t="str">
        <f>IFERROR(INDEX(ListeCours[],MATCH($D$2&amp;"_"&amp;A37,ListeCours[clé_formateur],0),5),"")</f>
        <v/>
      </c>
      <c r="H37" s="90" t="str">
        <f>IFERROR(INDEX(ListeCours[],MATCH($D$2&amp;"_"&amp;A37,ListeCours[clé_formateur],0),6),"")</f>
        <v/>
      </c>
      <c r="I37" s="90" t="str">
        <f>IFERROR(INDEX(ListeCours[],MATCH($D$2&amp;"_"&amp;A37,ListeCours[clé_formateur],0),7),"")</f>
        <v/>
      </c>
      <c r="K37" s="93" t="str">
        <f>IFERROR(INDEX(ListeCours[],MATCH($M$2&amp;"_"&amp;A37,ListeCours[clé_module],0),17),"")</f>
        <v/>
      </c>
      <c r="L37" s="86" t="str">
        <f>IFERROR(INDEX(ListeCours[],MATCH($M$2&amp;"_"&amp;A37,ListeCours[clé_module],0),2),"")</f>
        <v/>
      </c>
      <c r="M37" s="91" t="str">
        <f>IFERROR(INDEX(ListeCours[],MATCH($M$2&amp;"_"&amp;A37,ListeCours[clé_module],0),4),"")</f>
        <v/>
      </c>
      <c r="N37" s="88" t="str">
        <f t="shared" si="1"/>
        <v/>
      </c>
      <c r="O37" s="89" t="str">
        <f>IFERROR(INDEX(ListeCours[],MATCH($M$2&amp;"_"&amp;A37,ListeCours[clé_module],0),3),"")</f>
        <v/>
      </c>
      <c r="P37" s="92" t="str">
        <f>IFERROR(INDEX(ListeCours[],MATCH($M$2&amp;"_"&amp;A37,ListeCours[clé_module],0),5),"")</f>
        <v/>
      </c>
      <c r="Q37" s="92" t="str">
        <f>IFERROR(INDEX(ListeCours[],MATCH($M$2&amp;"_"&amp;A37,ListeCours[clé_module],0),6),"")</f>
        <v/>
      </c>
      <c r="R37" s="92" t="str">
        <f>IFERROR(INDEX(ListeCours[],MATCH($M$2&amp;"_"&amp;A37,ListeCours[clé_module],0),7),"")</f>
        <v/>
      </c>
    </row>
    <row r="38" spans="1:19" ht="19.5" customHeight="1" x14ac:dyDescent="0.25">
      <c r="I38" s="85">
        <f>SUM(I5:I37)</f>
        <v>0.58333333333333337</v>
      </c>
      <c r="R38" s="85">
        <f>SUM(R5:R37)</f>
        <v>1.75</v>
      </c>
      <c r="S38" s="94">
        <f>IFERROR(VLOOKUP($J$2,'vue progressive'!$B$7:$V$19,21,0),"")</f>
        <v>1.75</v>
      </c>
    </row>
  </sheetData>
  <sheetProtection sheet="1" objects="1" scenarios="1"/>
  <sortState xmlns:xlrd2="http://schemas.microsoft.com/office/spreadsheetml/2017/richdata2" ref="B5:I37">
    <sortCondition ref="F5:F37"/>
  </sortState>
  <mergeCells count="1">
    <mergeCell ref="M2:Q2"/>
  </mergeCells>
  <dataValidations count="2">
    <dataValidation type="list" sqref="D2" xr:uid="{00000000-0002-0000-0400-000000000000}">
      <formula1>FORMATEURS</formula1>
    </dataValidation>
    <dataValidation type="list" allowBlank="1" sqref="M2" xr:uid="{00000000-0002-0000-0400-000001000000}">
      <formula1>MODULES</formula1>
    </dataValidation>
  </dataValidations>
  <pageMargins left="0.25" right="0.25" top="0.75" bottom="0.75" header="0.3" footer="0.3"/>
  <pageSetup paperSize="9"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23"/>
  <sheetViews>
    <sheetView workbookViewId="0">
      <selection activeCell="A18" sqref="A18:XFD18"/>
    </sheetView>
  </sheetViews>
  <sheetFormatPr baseColWidth="10" defaultRowHeight="15" x14ac:dyDescent="0.25"/>
  <cols>
    <col min="2" max="3" width="29" customWidth="1"/>
    <col min="4" max="4" width="12.7109375" bestFit="1" customWidth="1"/>
    <col min="5" max="5" width="15" customWidth="1"/>
  </cols>
  <sheetData>
    <row r="2" spans="1:6" ht="25.5" customHeight="1" x14ac:dyDescent="0.25">
      <c r="B2" s="165" t="s">
        <v>92</v>
      </c>
      <c r="C2" s="165" t="s">
        <v>328</v>
      </c>
      <c r="E2" s="226" t="s">
        <v>374</v>
      </c>
      <c r="F2" s="226"/>
    </row>
    <row r="3" spans="1:6" ht="24" customHeight="1" x14ac:dyDescent="0.25">
      <c r="A3" s="232" t="s">
        <v>52</v>
      </c>
      <c r="B3" s="169" t="s">
        <v>329</v>
      </c>
      <c r="C3" s="227" t="s">
        <v>331</v>
      </c>
      <c r="E3" s="222" t="s">
        <v>375</v>
      </c>
      <c r="F3" s="223"/>
    </row>
    <row r="4" spans="1:6" ht="24" customHeight="1" x14ac:dyDescent="0.25">
      <c r="A4" s="232"/>
      <c r="B4" s="167" t="s">
        <v>330</v>
      </c>
      <c r="C4" s="228"/>
      <c r="E4" s="223"/>
      <c r="F4" s="223"/>
    </row>
    <row r="5" spans="1:6" ht="24" customHeight="1" x14ac:dyDescent="0.25">
      <c r="A5" s="232"/>
      <c r="B5" s="169" t="s">
        <v>332</v>
      </c>
      <c r="C5" s="229"/>
      <c r="E5" s="223"/>
      <c r="F5" s="223"/>
    </row>
    <row r="6" spans="1:6" ht="24" customHeight="1" x14ac:dyDescent="0.25">
      <c r="A6" s="232" t="s">
        <v>53</v>
      </c>
      <c r="B6" s="169" t="s">
        <v>329</v>
      </c>
      <c r="C6" s="227" t="s">
        <v>335</v>
      </c>
      <c r="E6" s="224" t="s">
        <v>376</v>
      </c>
      <c r="F6" s="225"/>
    </row>
    <row r="7" spans="1:6" ht="24" customHeight="1" x14ac:dyDescent="0.25">
      <c r="A7" s="232"/>
      <c r="B7" s="169" t="s">
        <v>333</v>
      </c>
      <c r="C7" s="229"/>
      <c r="E7" s="225"/>
      <c r="F7" s="225"/>
    </row>
    <row r="8" spans="1:6" ht="24" customHeight="1" x14ac:dyDescent="0.25">
      <c r="A8" s="232" t="s">
        <v>54</v>
      </c>
      <c r="B8" s="169" t="s">
        <v>333</v>
      </c>
      <c r="C8" s="227" t="s">
        <v>336</v>
      </c>
      <c r="E8" s="224" t="s">
        <v>385</v>
      </c>
      <c r="F8" s="225"/>
    </row>
    <row r="9" spans="1:6" ht="24" customHeight="1" x14ac:dyDescent="0.25">
      <c r="A9" s="232"/>
      <c r="B9" s="167" t="s">
        <v>334</v>
      </c>
      <c r="C9" s="228"/>
      <c r="E9" s="225"/>
      <c r="F9" s="225"/>
    </row>
    <row r="10" spans="1:6" ht="24" customHeight="1" x14ac:dyDescent="0.25">
      <c r="A10" s="232"/>
      <c r="B10" s="167" t="s">
        <v>384</v>
      </c>
      <c r="C10" s="228"/>
      <c r="E10" s="225"/>
      <c r="F10" s="225"/>
    </row>
    <row r="11" spans="1:6" ht="24" customHeight="1" x14ac:dyDescent="0.25">
      <c r="A11" s="232"/>
      <c r="B11" s="169" t="s">
        <v>329</v>
      </c>
      <c r="C11" s="229"/>
      <c r="E11" s="225"/>
      <c r="F11" s="225"/>
    </row>
    <row r="12" spans="1:6" ht="24" customHeight="1" x14ac:dyDescent="0.25">
      <c r="A12" s="230" t="s">
        <v>55</v>
      </c>
      <c r="B12" s="227" t="s">
        <v>332</v>
      </c>
      <c r="C12" s="166" t="s">
        <v>337</v>
      </c>
      <c r="E12" s="224" t="s">
        <v>377</v>
      </c>
      <c r="F12" s="225"/>
    </row>
    <row r="13" spans="1:6" ht="24" customHeight="1" x14ac:dyDescent="0.25">
      <c r="A13" s="231"/>
      <c r="B13" s="229"/>
      <c r="C13" s="171" t="s">
        <v>331</v>
      </c>
      <c r="E13" s="225"/>
      <c r="F13" s="225"/>
    </row>
    <row r="14" spans="1:6" ht="24" customHeight="1" x14ac:dyDescent="0.25">
      <c r="A14" s="164" t="s">
        <v>56</v>
      </c>
      <c r="B14" s="167" t="s">
        <v>330</v>
      </c>
      <c r="C14" s="168" t="s">
        <v>338</v>
      </c>
    </row>
    <row r="16" spans="1:6" x14ac:dyDescent="0.25">
      <c r="A16" s="163"/>
      <c r="B16" t="s">
        <v>339</v>
      </c>
    </row>
    <row r="17" spans="1:5" x14ac:dyDescent="0.25">
      <c r="A17" s="170" t="s">
        <v>343</v>
      </c>
      <c r="B17" s="170" t="s">
        <v>344</v>
      </c>
    </row>
    <row r="19" spans="1:5" x14ac:dyDescent="0.25">
      <c r="A19" t="s">
        <v>352</v>
      </c>
      <c r="C19" t="s">
        <v>353</v>
      </c>
      <c r="D19" t="s">
        <v>354</v>
      </c>
      <c r="E19" t="s">
        <v>355</v>
      </c>
    </row>
    <row r="20" spans="1:5" x14ac:dyDescent="0.25">
      <c r="A20" t="s">
        <v>331</v>
      </c>
      <c r="C20" t="s">
        <v>359</v>
      </c>
      <c r="D20" t="s">
        <v>348</v>
      </c>
      <c r="E20" t="s">
        <v>357</v>
      </c>
    </row>
    <row r="21" spans="1:5" x14ac:dyDescent="0.25">
      <c r="A21" t="s">
        <v>335</v>
      </c>
      <c r="C21" t="s">
        <v>360</v>
      </c>
      <c r="D21" t="s">
        <v>350</v>
      </c>
      <c r="E21" t="s">
        <v>28</v>
      </c>
    </row>
    <row r="22" spans="1:5" x14ac:dyDescent="0.25">
      <c r="A22" t="s">
        <v>336</v>
      </c>
      <c r="C22" t="s">
        <v>346</v>
      </c>
      <c r="D22" t="s">
        <v>349</v>
      </c>
      <c r="E22" t="s">
        <v>356</v>
      </c>
    </row>
    <row r="23" spans="1:5" x14ac:dyDescent="0.25">
      <c r="A23" t="s">
        <v>337</v>
      </c>
      <c r="C23" t="s">
        <v>347</v>
      </c>
      <c r="D23" t="s">
        <v>351</v>
      </c>
      <c r="E23" t="s">
        <v>358</v>
      </c>
    </row>
  </sheetData>
  <mergeCells count="13">
    <mergeCell ref="C3:C5"/>
    <mergeCell ref="C6:C7"/>
    <mergeCell ref="C8:C11"/>
    <mergeCell ref="A12:A13"/>
    <mergeCell ref="B12:B13"/>
    <mergeCell ref="A3:A5"/>
    <mergeCell ref="A6:A7"/>
    <mergeCell ref="A8:A11"/>
    <mergeCell ref="E3:F5"/>
    <mergeCell ref="E6:F7"/>
    <mergeCell ref="E8:F11"/>
    <mergeCell ref="E12:F13"/>
    <mergeCell ref="E2:F2"/>
  </mergeCells>
  <hyperlinks>
    <hyperlink ref="C22" r:id="rId1" xr:uid="{00000000-0004-0000-0500-000000000000}"/>
    <hyperlink ref="C23" r:id="rId2" xr:uid="{00000000-0004-0000-0500-000001000000}"/>
    <hyperlink ref="C20" r:id="rId3" xr:uid="{00000000-0004-0000-0500-000002000000}"/>
    <hyperlink ref="C21" r:id="rId4" xr:uid="{00000000-0004-0000-0500-000003000000}"/>
  </hyperlinks>
  <pageMargins left="0.7" right="0.7" top="0.75" bottom="0.75" header="0.3" footer="0.3"/>
  <pageSetup paperSize="9" orientation="portrait" r:id="rId5"/>
  <legacy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54"/>
  <sheetViews>
    <sheetView topLeftCell="A7" workbookViewId="0">
      <selection activeCell="G36" sqref="G36"/>
    </sheetView>
  </sheetViews>
  <sheetFormatPr baseColWidth="10" defaultColWidth="15.140625" defaultRowHeight="15" x14ac:dyDescent="0.25"/>
  <cols>
    <col min="1" max="4" width="15.140625" style="103"/>
    <col min="5" max="5" width="16.42578125" style="103" customWidth="1"/>
    <col min="6" max="6" width="15.140625" style="103"/>
    <col min="7" max="7" width="25.5703125" style="103" customWidth="1"/>
    <col min="8" max="16384" width="15.140625" style="103"/>
  </cols>
  <sheetData>
    <row r="2" spans="2:3" x14ac:dyDescent="0.25">
      <c r="B2" s="131" t="s">
        <v>24</v>
      </c>
      <c r="C2" s="132">
        <f>'vue annuelle'!Année</f>
        <v>2023</v>
      </c>
    </row>
    <row r="3" spans="2:3" x14ac:dyDescent="0.25">
      <c r="B3" s="133" t="s">
        <v>10</v>
      </c>
      <c r="C3" s="134"/>
    </row>
    <row r="4" spans="2:3" x14ac:dyDescent="0.25">
      <c r="B4" s="135">
        <f>DATE($C$2,1,1)</f>
        <v>44927</v>
      </c>
      <c r="C4" s="134" t="s">
        <v>11</v>
      </c>
    </row>
    <row r="5" spans="2:3" x14ac:dyDescent="0.25">
      <c r="B5" s="136">
        <f>ROUND(DATE($C$2,4,MOD(234-11*MOD($C$2,19),30))/7,0)*7-6</f>
        <v>45025</v>
      </c>
      <c r="C5" s="134" t="s">
        <v>12</v>
      </c>
    </row>
    <row r="6" spans="2:3" x14ac:dyDescent="0.25">
      <c r="B6" s="137">
        <f>$B$5+1</f>
        <v>45026</v>
      </c>
      <c r="C6" s="134" t="s">
        <v>21</v>
      </c>
    </row>
    <row r="7" spans="2:3" x14ac:dyDescent="0.25">
      <c r="B7" s="138">
        <f>DATE($C$2,5,1)</f>
        <v>45047</v>
      </c>
      <c r="C7" s="134" t="s">
        <v>13</v>
      </c>
    </row>
    <row r="8" spans="2:3" x14ac:dyDescent="0.25">
      <c r="B8" s="138">
        <f>DATE($C$2,5,8)</f>
        <v>45054</v>
      </c>
      <c r="C8" s="134" t="s">
        <v>14</v>
      </c>
    </row>
    <row r="9" spans="2:3" x14ac:dyDescent="0.25">
      <c r="B9" s="137">
        <f>$B$5+39</f>
        <v>45064</v>
      </c>
      <c r="C9" s="134" t="s">
        <v>22</v>
      </c>
    </row>
    <row r="10" spans="2:3" x14ac:dyDescent="0.25">
      <c r="B10" s="137">
        <f>$B$5+50</f>
        <v>45075</v>
      </c>
      <c r="C10" s="134" t="s">
        <v>23</v>
      </c>
    </row>
    <row r="11" spans="2:3" x14ac:dyDescent="0.25">
      <c r="B11" s="138">
        <f>DATE($C$2,7,14)</f>
        <v>45121</v>
      </c>
      <c r="C11" s="134" t="s">
        <v>15</v>
      </c>
    </row>
    <row r="12" spans="2:3" x14ac:dyDescent="0.25">
      <c r="B12" s="138">
        <f>DATE($C$2,8,15)</f>
        <v>45153</v>
      </c>
      <c r="C12" s="134" t="s">
        <v>16</v>
      </c>
    </row>
    <row r="13" spans="2:3" x14ac:dyDescent="0.25">
      <c r="B13" s="138">
        <f>DATE($C$2,11,1)</f>
        <v>45231</v>
      </c>
      <c r="C13" s="134" t="s">
        <v>17</v>
      </c>
    </row>
    <row r="14" spans="2:3" x14ac:dyDescent="0.25">
      <c r="B14" s="138">
        <f>DATE($C$2,11,11)</f>
        <v>45241</v>
      </c>
      <c r="C14" s="134" t="s">
        <v>18</v>
      </c>
    </row>
    <row r="15" spans="2:3" x14ac:dyDescent="0.25">
      <c r="B15" s="138">
        <f>DATE($C$2,12,20)</f>
        <v>45280</v>
      </c>
      <c r="C15" s="134" t="s">
        <v>19</v>
      </c>
    </row>
    <row r="16" spans="2:3" x14ac:dyDescent="0.25">
      <c r="B16" s="139">
        <f>DATE($C$2,12,25)</f>
        <v>45285</v>
      </c>
      <c r="C16" s="134" t="s">
        <v>20</v>
      </c>
    </row>
    <row r="19" spans="2:8" x14ac:dyDescent="0.25">
      <c r="B19" s="140" t="s">
        <v>186</v>
      </c>
      <c r="C19" s="141"/>
      <c r="D19" s="141"/>
      <c r="E19" s="142"/>
      <c r="G19" s="143" t="s">
        <v>269</v>
      </c>
      <c r="H19" s="144"/>
    </row>
    <row r="20" spans="2:8" x14ac:dyDescent="0.25">
      <c r="B20" s="145" t="s">
        <v>295</v>
      </c>
      <c r="C20" s="146"/>
      <c r="D20" s="146"/>
      <c r="E20" s="147"/>
      <c r="G20" s="129" t="s">
        <v>270</v>
      </c>
      <c r="H20" s="147" t="s">
        <v>312</v>
      </c>
    </row>
    <row r="21" spans="2:8" x14ac:dyDescent="0.25">
      <c r="B21" s="145" t="s">
        <v>187</v>
      </c>
      <c r="C21" s="146"/>
      <c r="D21" s="146"/>
      <c r="E21" s="147"/>
      <c r="G21" s="129" t="s">
        <v>272</v>
      </c>
      <c r="H21" s="147" t="s">
        <v>314</v>
      </c>
    </row>
    <row r="22" spans="2:8" x14ac:dyDescent="0.25">
      <c r="B22" s="145" t="s">
        <v>188</v>
      </c>
      <c r="C22" s="146"/>
      <c r="D22" s="146"/>
      <c r="E22" s="147"/>
      <c r="G22" s="129" t="s">
        <v>310</v>
      </c>
      <c r="H22" s="147" t="s">
        <v>151</v>
      </c>
    </row>
    <row r="23" spans="2:8" x14ac:dyDescent="0.25">
      <c r="B23" s="145" t="s">
        <v>296</v>
      </c>
      <c r="C23" s="146"/>
      <c r="D23" s="146"/>
      <c r="E23" s="147"/>
      <c r="G23" s="129" t="s">
        <v>273</v>
      </c>
      <c r="H23" s="147" t="s">
        <v>315</v>
      </c>
    </row>
    <row r="24" spans="2:8" x14ac:dyDescent="0.25">
      <c r="B24" s="145" t="s">
        <v>297</v>
      </c>
      <c r="C24" s="146"/>
      <c r="D24" s="146"/>
      <c r="E24" s="147"/>
      <c r="G24" s="129" t="s">
        <v>274</v>
      </c>
      <c r="H24" s="147" t="s">
        <v>321</v>
      </c>
    </row>
    <row r="25" spans="2:8" x14ac:dyDescent="0.25">
      <c r="B25" s="145" t="s">
        <v>298</v>
      </c>
      <c r="C25" s="146"/>
      <c r="D25" s="146"/>
      <c r="E25" s="147"/>
      <c r="G25" s="129" t="s">
        <v>275</v>
      </c>
      <c r="H25" s="147" t="s">
        <v>316</v>
      </c>
    </row>
    <row r="26" spans="2:8" x14ac:dyDescent="0.25">
      <c r="B26" s="145" t="s">
        <v>299</v>
      </c>
      <c r="C26" s="146"/>
      <c r="D26" s="146"/>
      <c r="E26" s="147"/>
      <c r="G26" s="129" t="s">
        <v>276</v>
      </c>
      <c r="H26" s="147" t="s">
        <v>317</v>
      </c>
    </row>
    <row r="27" spans="2:8" x14ac:dyDescent="0.25">
      <c r="B27" s="145" t="s">
        <v>300</v>
      </c>
      <c r="C27" s="146"/>
      <c r="D27" s="146"/>
      <c r="E27" s="147"/>
      <c r="G27" s="129" t="s">
        <v>277</v>
      </c>
      <c r="H27" s="147" t="s">
        <v>318</v>
      </c>
    </row>
    <row r="28" spans="2:8" x14ac:dyDescent="0.25">
      <c r="B28" s="145" t="s">
        <v>301</v>
      </c>
      <c r="C28" s="146"/>
      <c r="D28" s="146"/>
      <c r="E28" s="147"/>
      <c r="G28" s="129" t="s">
        <v>278</v>
      </c>
      <c r="H28" s="147" t="s">
        <v>324</v>
      </c>
    </row>
    <row r="29" spans="2:8" x14ac:dyDescent="0.25">
      <c r="B29" s="145" t="s">
        <v>302</v>
      </c>
      <c r="C29" s="146"/>
      <c r="D29" s="146"/>
      <c r="E29" s="147"/>
      <c r="G29" s="129" t="s">
        <v>279</v>
      </c>
      <c r="H29" s="147" t="s">
        <v>319</v>
      </c>
    </row>
    <row r="30" spans="2:8" x14ac:dyDescent="0.25">
      <c r="B30" s="145" t="s">
        <v>303</v>
      </c>
      <c r="C30" s="146"/>
      <c r="D30" s="146"/>
      <c r="E30" s="147"/>
      <c r="G30" s="129" t="s">
        <v>341</v>
      </c>
      <c r="H30" s="147" t="s">
        <v>342</v>
      </c>
    </row>
    <row r="31" spans="2:8" x14ac:dyDescent="0.25">
      <c r="B31" s="148" t="s">
        <v>304</v>
      </c>
      <c r="C31" s="149"/>
      <c r="D31" s="149"/>
      <c r="E31" s="150"/>
      <c r="G31" s="129" t="s">
        <v>311</v>
      </c>
      <c r="H31" s="147" t="s">
        <v>320</v>
      </c>
    </row>
    <row r="32" spans="2:8" x14ac:dyDescent="0.25">
      <c r="G32" s="129" t="s">
        <v>323</v>
      </c>
      <c r="H32" s="147" t="s">
        <v>326</v>
      </c>
    </row>
    <row r="33" spans="1:8" x14ac:dyDescent="0.25">
      <c r="G33" s="129"/>
      <c r="H33" s="147"/>
    </row>
    <row r="34" spans="1:8" x14ac:dyDescent="0.25">
      <c r="A34" s="151" t="s">
        <v>207</v>
      </c>
      <c r="B34" s="152" t="s">
        <v>206</v>
      </c>
      <c r="C34" s="151" t="s">
        <v>271</v>
      </c>
      <c r="G34" s="129"/>
      <c r="H34" s="147"/>
    </row>
    <row r="35" spans="1:8" x14ac:dyDescent="0.25">
      <c r="A35" s="153">
        <v>1</v>
      </c>
      <c r="B35" s="154">
        <f>COUNTIF(ListeCours[mois],A35)</f>
        <v>7</v>
      </c>
      <c r="C35" s="155">
        <v>1</v>
      </c>
      <c r="G35" s="129"/>
      <c r="H35" s="147"/>
    </row>
    <row r="36" spans="1:8" x14ac:dyDescent="0.25">
      <c r="A36" s="153">
        <f>A35+1</f>
        <v>2</v>
      </c>
      <c r="B36" s="154">
        <f>COUNTIF(ListeCours[mois],A36)</f>
        <v>11</v>
      </c>
      <c r="C36" s="155">
        <f>C35+1</f>
        <v>2</v>
      </c>
      <c r="G36" s="129"/>
      <c r="H36" s="147"/>
    </row>
    <row r="37" spans="1:8" x14ac:dyDescent="0.25">
      <c r="A37" s="153">
        <f t="shared" ref="A37:A46" si="0">A36+1</f>
        <v>3</v>
      </c>
      <c r="B37" s="154">
        <f>COUNTIF(ListeCours[mois],A37)</f>
        <v>12</v>
      </c>
      <c r="C37" s="155">
        <f t="shared" ref="C37:C54" si="1">C36+1</f>
        <v>3</v>
      </c>
      <c r="G37" s="129"/>
      <c r="H37" s="147"/>
    </row>
    <row r="38" spans="1:8" x14ac:dyDescent="0.25">
      <c r="A38" s="153">
        <f t="shared" si="0"/>
        <v>4</v>
      </c>
      <c r="B38" s="154">
        <f>COUNTIF(ListeCours[mois],A38)</f>
        <v>15</v>
      </c>
      <c r="C38" s="155">
        <f t="shared" si="1"/>
        <v>4</v>
      </c>
      <c r="G38" s="129"/>
      <c r="H38" s="147"/>
    </row>
    <row r="39" spans="1:8" x14ac:dyDescent="0.25">
      <c r="A39" s="153">
        <f t="shared" si="0"/>
        <v>5</v>
      </c>
      <c r="B39" s="154">
        <f>COUNTIF(ListeCours[mois],A39)</f>
        <v>13</v>
      </c>
      <c r="C39" s="155">
        <f t="shared" si="1"/>
        <v>5</v>
      </c>
      <c r="G39" s="129"/>
      <c r="H39" s="147"/>
    </row>
    <row r="40" spans="1:8" x14ac:dyDescent="0.25">
      <c r="A40" s="153">
        <f t="shared" si="0"/>
        <v>6</v>
      </c>
      <c r="B40" s="154">
        <f>COUNTIF(ListeCours[mois],A40)</f>
        <v>12</v>
      </c>
      <c r="C40" s="155">
        <f t="shared" si="1"/>
        <v>6</v>
      </c>
      <c r="G40" s="129"/>
      <c r="H40" s="147"/>
    </row>
    <row r="41" spans="1:8" x14ac:dyDescent="0.25">
      <c r="A41" s="153">
        <f t="shared" si="0"/>
        <v>7</v>
      </c>
      <c r="B41" s="154">
        <f>COUNTIF(ListeCours[mois],A41)</f>
        <v>12</v>
      </c>
      <c r="C41" s="155">
        <f t="shared" si="1"/>
        <v>7</v>
      </c>
      <c r="G41" s="129"/>
      <c r="H41" s="147"/>
    </row>
    <row r="42" spans="1:8" x14ac:dyDescent="0.25">
      <c r="A42" s="153">
        <f t="shared" si="0"/>
        <v>8</v>
      </c>
      <c r="B42" s="154">
        <f>COUNTIF(ListeCours[mois],A42)</f>
        <v>14</v>
      </c>
      <c r="C42" s="155">
        <f t="shared" si="1"/>
        <v>8</v>
      </c>
      <c r="G42" s="129"/>
      <c r="H42" s="147"/>
    </row>
    <row r="43" spans="1:8" x14ac:dyDescent="0.25">
      <c r="A43" s="153">
        <f t="shared" si="0"/>
        <v>9</v>
      </c>
      <c r="B43" s="154">
        <f>COUNTIF(ListeCours[mois],A43)</f>
        <v>14</v>
      </c>
      <c r="C43" s="155">
        <f t="shared" si="1"/>
        <v>9</v>
      </c>
      <c r="G43" s="129"/>
      <c r="H43" s="147"/>
    </row>
    <row r="44" spans="1:8" x14ac:dyDescent="0.25">
      <c r="A44" s="153">
        <f t="shared" si="0"/>
        <v>10</v>
      </c>
      <c r="B44" s="154">
        <f>COUNTIF(ListeCours[mois],A44)</f>
        <v>15</v>
      </c>
      <c r="C44" s="155">
        <f t="shared" si="1"/>
        <v>10</v>
      </c>
      <c r="G44" s="129"/>
      <c r="H44" s="147"/>
    </row>
    <row r="45" spans="1:8" x14ac:dyDescent="0.25">
      <c r="A45" s="153">
        <f t="shared" si="0"/>
        <v>11</v>
      </c>
      <c r="B45" s="154">
        <f>COUNTIF(ListeCours[mois],A45)</f>
        <v>9</v>
      </c>
      <c r="C45" s="155">
        <f t="shared" si="1"/>
        <v>11</v>
      </c>
      <c r="G45" s="129"/>
      <c r="H45" s="147"/>
    </row>
    <row r="46" spans="1:8" x14ac:dyDescent="0.25">
      <c r="A46" s="153">
        <f t="shared" si="0"/>
        <v>12</v>
      </c>
      <c r="B46" s="154">
        <f>COUNTIF(ListeCours[mois],A46)</f>
        <v>5</v>
      </c>
      <c r="C46" s="155">
        <f t="shared" si="1"/>
        <v>12</v>
      </c>
      <c r="G46" s="129"/>
      <c r="H46" s="147"/>
    </row>
    <row r="47" spans="1:8" x14ac:dyDescent="0.25">
      <c r="C47" s="155">
        <f t="shared" si="1"/>
        <v>13</v>
      </c>
      <c r="G47" s="129"/>
      <c r="H47" s="147"/>
    </row>
    <row r="48" spans="1:8" x14ac:dyDescent="0.25">
      <c r="C48" s="155">
        <f t="shared" si="1"/>
        <v>14</v>
      </c>
      <c r="G48" s="129"/>
      <c r="H48" s="147"/>
    </row>
    <row r="49" spans="3:8" x14ac:dyDescent="0.25">
      <c r="C49" s="155">
        <f t="shared" si="1"/>
        <v>15</v>
      </c>
      <c r="G49" s="129"/>
      <c r="H49" s="147"/>
    </row>
    <row r="50" spans="3:8" x14ac:dyDescent="0.25">
      <c r="C50" s="155">
        <f t="shared" si="1"/>
        <v>16</v>
      </c>
      <c r="G50" s="129"/>
      <c r="H50" s="147"/>
    </row>
    <row r="51" spans="3:8" x14ac:dyDescent="0.25">
      <c r="C51" s="155">
        <f t="shared" si="1"/>
        <v>17</v>
      </c>
      <c r="G51" s="129"/>
      <c r="H51" s="147"/>
    </row>
    <row r="52" spans="3:8" x14ac:dyDescent="0.25">
      <c r="C52" s="155">
        <f t="shared" si="1"/>
        <v>18</v>
      </c>
      <c r="G52" s="129"/>
      <c r="H52" s="147"/>
    </row>
    <row r="53" spans="3:8" x14ac:dyDescent="0.25">
      <c r="C53" s="155">
        <f t="shared" si="1"/>
        <v>19</v>
      </c>
      <c r="G53" s="129"/>
      <c r="H53" s="147"/>
    </row>
    <row r="54" spans="3:8" x14ac:dyDescent="0.25">
      <c r="C54" s="155">
        <f t="shared" si="1"/>
        <v>20</v>
      </c>
      <c r="G54" s="130"/>
      <c r="H54" s="150"/>
    </row>
  </sheetData>
  <sheetProtection sheet="1" objects="1" scenarios="1" selectLockedCells="1"/>
  <sortState xmlns:xlrd2="http://schemas.microsoft.com/office/spreadsheetml/2017/richdata2" ref="B4:C16">
    <sortCondition ref="B4:B16"/>
  </sortState>
  <pageMargins left="0.7" right="0.7" top="0.75" bottom="0.75" header="0.3" footer="0.3"/>
  <ignoredErrors>
    <ignoredError sqref="B36:B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Liste des cours</vt:lpstr>
      <vt:lpstr>vue annuelle</vt:lpstr>
      <vt:lpstr>Tabl. synoptique</vt:lpstr>
      <vt:lpstr>vue progressive</vt:lpstr>
      <vt:lpstr>recherche filtrée</vt:lpstr>
      <vt:lpstr>tuteurs</vt:lpstr>
      <vt:lpstr>tables</vt:lpstr>
      <vt:lpstr>'vue annuelle'!Année</vt:lpstr>
      <vt:lpstr>Fériés</vt:lpstr>
      <vt:lpstr>FORMATEURS</vt:lpstr>
      <vt:lpstr>MODULES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d'ANDREA</dc:creator>
  <cp:lastModifiedBy>Christophe d'ANDREA</cp:lastModifiedBy>
  <cp:lastPrinted>2023-03-21T12:26:31Z</cp:lastPrinted>
  <dcterms:created xsi:type="dcterms:W3CDTF">2022-11-03T11:06:08Z</dcterms:created>
  <dcterms:modified xsi:type="dcterms:W3CDTF">2023-03-22T05:13:18Z</dcterms:modified>
</cp:coreProperties>
</file>